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C:\Users\RachelMooney\Downloads\"/>
    </mc:Choice>
  </mc:AlternateContent>
  <xr:revisionPtr revIDLastSave="0" documentId="8_{FBE23C79-C2A3-48FE-95F9-A181673D5C6A}" xr6:coauthVersionLast="47" xr6:coauthVersionMax="47" xr10:uidLastSave="{00000000-0000-0000-0000-000000000000}"/>
  <workbookProtection workbookAlgorithmName="SHA-512" workbookHashValue="qLmOdMQTZcOQCpAgWjlZmibd/WxQSF5P9VHI4QXsUWafR3Bmx3vQol/68WpCsav1ugUlL7CqMM+9iEAEbrrJxw==" workbookSaltValue="wJpAToSmOylS3IVSm+QWPQ==" workbookSpinCount="100000" lockStructure="1"/>
  <bookViews>
    <workbookView xWindow="-110" yWindow="-110" windowWidth="19420" windowHeight="10420" tabRatio="783" firstSheet="8" activeTab="13" xr2:uid="{00000000-000D-0000-FFFF-FFFF00000000}"/>
  </bookViews>
  <sheets>
    <sheet name="I. Introduction" sheetId="1" r:id="rId1"/>
    <sheet name="II. Summary" sheetId="2" r:id="rId2"/>
    <sheet name="III. Data Inputs-BE" sheetId="3" r:id="rId3"/>
    <sheet name="IV. Data Inputs-PE" sheetId="4" r:id="rId4"/>
    <sheet name="V. BE CH4,AS" sheetId="5" r:id="rId5"/>
    <sheet name="VI. BE CH4,nAS" sheetId="6" r:id="rId6"/>
    <sheet name="VII. Total  BE CH4" sheetId="7" r:id="rId7"/>
    <sheet name="VIII. PE CH4(BCS)" sheetId="8" r:id="rId8"/>
    <sheet name="IX. PE CH4(V)" sheetId="15" r:id="rId9"/>
    <sheet name="X. PE CH4(ET)" sheetId="9" r:id="rId10"/>
    <sheet name="XI. PE CH4(nBCS)" sheetId="10" r:id="rId11"/>
    <sheet name="XII. Total PE CH4" sheetId="11" r:id="rId12"/>
    <sheet name="XIII. CO2" sheetId="12" r:id="rId13"/>
    <sheet name="XIV. Reference Tables" sheetId="13" r:id="rId14"/>
  </sheets>
  <definedNames>
    <definedName name="_xlnm._FilterDatabase" localSheetId="2" hidden="1">'III. Data Inputs-BE'!$F$33:$F$44</definedName>
    <definedName name="_Hlk165104982" localSheetId="13">'XIV. Reference Tables'!$B$27</definedName>
    <definedName name="gwp_ch4">'XIV. Reference Tables'!$C$582</definedName>
    <definedName name="gwp_n2o">'XIV. Reference Tables'!$C$583</definedName>
    <definedName name="listmonths">'XIV. Reference Tables'!$C$568:$C$579</definedName>
    <definedName name="livestock_cat">'III. Data Inputs-BE'!$B$50:$D$60</definedName>
    <definedName name="_xlnm.Print_Area" localSheetId="0">'I. Introduction'!$B$5:$B$52</definedName>
    <definedName name="_xlnm.Print_Area" localSheetId="2">'III. Data Inputs-BE'!$B$3:$M$202</definedName>
    <definedName name="_xlnm.Print_Area" localSheetId="4">'V. BE CH4,AS'!$B$3:$J$491</definedName>
    <definedName name="_xlnm.Print_Area" localSheetId="5">'VI. BE CH4,nAS'!$B$4:$J$170</definedName>
    <definedName name="_xlnm.Print_Area" localSheetId="6">'VII. Total  BE CH4'!$B$4:$H$50</definedName>
    <definedName name="_xlnm.Print_Area" localSheetId="7">'VIII. PE CH4(BCS)'!$B$4:$I$28</definedName>
    <definedName name="_xlnm.Print_Area" localSheetId="9">'X. PE CH4(ET)'!$B$4:$G$13</definedName>
    <definedName name="_xlnm.Print_Area" localSheetId="10">'XI. PE CH4(nBCS)'!$B$4:$F$230</definedName>
    <definedName name="_xlnm.Print_Area" localSheetId="11">'XII. Total PE CH4'!$B$4:$E$41</definedName>
    <definedName name="_xlnm.Print_Area" localSheetId="12">'XIII. CO2'!$B$4:$F$82</definedName>
    <definedName name="_xlnm.Print_Area" localSheetId="13">'XIV. Reference Tables'!$B$4:$E$481</definedName>
    <definedName name="Z_A6F5A5FB_2E6E_47D3_842C_0D3D06DB341A_.wvu.Cols" localSheetId="0" hidden="1">'I. Introduction'!$F:$H</definedName>
    <definedName name="Z_A6F5A5FB_2E6E_47D3_842C_0D3D06DB341A_.wvu.Cols" localSheetId="4" hidden="1">'V. BE CH4,AS'!$P:$Q</definedName>
    <definedName name="Z_A6F5A5FB_2E6E_47D3_842C_0D3D06DB341A_.wvu.FilterData" localSheetId="2" hidden="1">'III. Data Inputs-BE'!$F$50:$F$59</definedName>
    <definedName name="Z_A6F5A5FB_2E6E_47D3_842C_0D3D06DB341A_.wvu.PrintArea" localSheetId="0" hidden="1">'I. Introduction'!$B$5:$B$52</definedName>
    <definedName name="Z_A6F5A5FB_2E6E_47D3_842C_0D3D06DB341A_.wvu.PrintArea" localSheetId="2" hidden="1">'III. Data Inputs-BE'!$B$3:$M$202</definedName>
    <definedName name="Z_A6F5A5FB_2E6E_47D3_842C_0D3D06DB341A_.wvu.PrintArea" localSheetId="4" hidden="1">'V. BE CH4,AS'!$B$3:$J$491</definedName>
    <definedName name="Z_A6F5A5FB_2E6E_47D3_842C_0D3D06DB341A_.wvu.PrintArea" localSheetId="5" hidden="1">'VI. BE CH4,nAS'!$B$4:$J$170</definedName>
    <definedName name="Z_A6F5A5FB_2E6E_47D3_842C_0D3D06DB341A_.wvu.PrintArea" localSheetId="6" hidden="1">'VII. Total  BE CH4'!$B$4:$H$50</definedName>
    <definedName name="Z_A6F5A5FB_2E6E_47D3_842C_0D3D06DB341A_.wvu.PrintArea" localSheetId="7" hidden="1">'VIII. PE CH4(BCS)'!$B$4:$I$28</definedName>
    <definedName name="Z_A6F5A5FB_2E6E_47D3_842C_0D3D06DB341A_.wvu.PrintArea" localSheetId="9" hidden="1">'X. PE CH4(ET)'!$B$4:$G$13</definedName>
    <definedName name="Z_A6F5A5FB_2E6E_47D3_842C_0D3D06DB341A_.wvu.PrintArea" localSheetId="10" hidden="1">'XI. PE CH4(nBCS)'!$B$4:$F$230</definedName>
    <definedName name="Z_A6F5A5FB_2E6E_47D3_842C_0D3D06DB341A_.wvu.PrintArea" localSheetId="11" hidden="1">'XII. Total PE CH4'!$B$4:$E$41</definedName>
    <definedName name="Z_A6F5A5FB_2E6E_47D3_842C_0D3D06DB341A_.wvu.PrintArea" localSheetId="12" hidden="1">'XIII. CO2'!$B$4:$F$82</definedName>
    <definedName name="Z_A6F5A5FB_2E6E_47D3_842C_0D3D06DB341A_.wvu.PrintArea" localSheetId="13" hidden="1">'XIV. Reference Tables'!$B$4:$E$481</definedName>
    <definedName name="Z_A6F5A5FB_2E6E_47D3_842C_0D3D06DB341A_.wvu.Rows" localSheetId="0" hidden="1">'I. Introduction'!#REF!,'I. Introduction'!#REF!</definedName>
  </definedNames>
  <calcPr calcId="191028"/>
  <customWorkbookViews>
    <customWorkbookView name="mdubuisson - Personal View" guid="{A6F5A5FB-2E6E-47D3-842C-0D3D06DB341A}" mergeInterval="0" personalView="1" maximized="1" windowWidth="1280" windowHeight="805" tabRatio="783"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82" i="3" l="1"/>
  <c r="E82" i="3"/>
  <c r="F82" i="3"/>
  <c r="G82" i="3"/>
  <c r="H82" i="3"/>
  <c r="I82" i="3"/>
  <c r="J82" i="3"/>
  <c r="K82" i="3"/>
  <c r="L82" i="3"/>
  <c r="C82" i="3"/>
  <c r="C46" i="6" s="1"/>
  <c r="B108" i="3"/>
  <c r="C108" i="3"/>
  <c r="G61" i="6" s="1"/>
  <c r="B111" i="3"/>
  <c r="C111" i="3" s="1"/>
  <c r="G106" i="6" s="1"/>
  <c r="B112" i="3"/>
  <c r="C112" i="3" s="1"/>
  <c r="G23" i="6" s="1"/>
  <c r="B115" i="3"/>
  <c r="C115" i="3"/>
  <c r="G124" i="6" s="1"/>
  <c r="B116" i="3"/>
  <c r="C116" i="3" s="1"/>
  <c r="C198" i="10" s="1"/>
  <c r="B196" i="10"/>
  <c r="B176" i="10"/>
  <c r="B156" i="10"/>
  <c r="B136" i="10"/>
  <c r="B116" i="10"/>
  <c r="B96" i="10"/>
  <c r="B76" i="10"/>
  <c r="B56" i="10"/>
  <c r="B36" i="10"/>
  <c r="B16" i="10"/>
  <c r="B452" i="5"/>
  <c r="B476" i="5"/>
  <c r="B404" i="5"/>
  <c r="B356" i="5"/>
  <c r="B309" i="5"/>
  <c r="B259" i="5"/>
  <c r="B283" i="5" s="1"/>
  <c r="B210" i="5"/>
  <c r="B163" i="5"/>
  <c r="B66" i="5"/>
  <c r="B18" i="5"/>
  <c r="B42" i="5" s="1"/>
  <c r="B115" i="5"/>
  <c r="E145" i="4"/>
  <c r="E149" i="4" s="1"/>
  <c r="F145" i="4"/>
  <c r="F149" i="4" s="1"/>
  <c r="I145" i="4"/>
  <c r="I149" i="4" s="1"/>
  <c r="J145" i="4"/>
  <c r="J149" i="4" s="1"/>
  <c r="C145" i="4"/>
  <c r="C149" i="4" s="1"/>
  <c r="D145" i="4"/>
  <c r="D149" i="4" s="1"/>
  <c r="G145" i="4"/>
  <c r="G149" i="4" s="1"/>
  <c r="H145" i="4"/>
  <c r="H149" i="4" s="1"/>
  <c r="K145" i="4"/>
  <c r="K149" i="4" s="1"/>
  <c r="L145" i="4"/>
  <c r="L149" i="4" s="1"/>
  <c r="B109" i="3"/>
  <c r="C109" i="3" s="1"/>
  <c r="C58" i="10" s="1"/>
  <c r="B110" i="3"/>
  <c r="B113" i="3"/>
  <c r="C113" i="3"/>
  <c r="G122" i="6" s="1"/>
  <c r="B114" i="3"/>
  <c r="B107" i="3"/>
  <c r="C107" i="3" s="1"/>
  <c r="C18" i="10" s="1"/>
  <c r="B94" i="3"/>
  <c r="B95" i="3"/>
  <c r="B96" i="3"/>
  <c r="B97" i="3"/>
  <c r="B98" i="3"/>
  <c r="B99" i="3"/>
  <c r="B100" i="3"/>
  <c r="B101" i="3"/>
  <c r="B102" i="3"/>
  <c r="B93" i="3"/>
  <c r="B33" i="3"/>
  <c r="B480" i="5" s="1"/>
  <c r="B34" i="3"/>
  <c r="B264" i="5" s="1"/>
  <c r="B35" i="3"/>
  <c r="B289" i="5" s="1"/>
  <c r="B36" i="3"/>
  <c r="B459" i="5" s="1"/>
  <c r="B37" i="3"/>
  <c r="B114" i="4" s="1"/>
  <c r="B38" i="3"/>
  <c r="B196" i="5" s="1"/>
  <c r="B39" i="3"/>
  <c r="B486" i="5" s="1"/>
  <c r="B40" i="3"/>
  <c r="B102" i="5" s="1"/>
  <c r="B41" i="3"/>
  <c r="B368" i="5" s="1"/>
  <c r="B42" i="3"/>
  <c r="B119" i="4" s="1"/>
  <c r="B43" i="3"/>
  <c r="B297" i="5" s="1"/>
  <c r="B44" i="3"/>
  <c r="B443" i="5" s="1"/>
  <c r="D491" i="5"/>
  <c r="D490" i="5"/>
  <c r="D489" i="5"/>
  <c r="D488" i="5"/>
  <c r="D487" i="5"/>
  <c r="D486" i="5"/>
  <c r="D485" i="5"/>
  <c r="D484" i="5"/>
  <c r="D483" i="5"/>
  <c r="D482" i="5"/>
  <c r="D481" i="5"/>
  <c r="D480" i="5"/>
  <c r="D467" i="5"/>
  <c r="D466" i="5"/>
  <c r="D465" i="5"/>
  <c r="D464" i="5"/>
  <c r="D463" i="5"/>
  <c r="D462" i="5"/>
  <c r="D461" i="5"/>
  <c r="D460" i="5"/>
  <c r="D459" i="5"/>
  <c r="D458" i="5"/>
  <c r="D457" i="5"/>
  <c r="D456" i="5"/>
  <c r="D443" i="5"/>
  <c r="D442" i="5"/>
  <c r="D441" i="5"/>
  <c r="D440" i="5"/>
  <c r="D439" i="5"/>
  <c r="D438" i="5"/>
  <c r="D437" i="5"/>
  <c r="D436" i="5"/>
  <c r="D435" i="5"/>
  <c r="D434" i="5"/>
  <c r="D433" i="5"/>
  <c r="D432" i="5"/>
  <c r="D419" i="5"/>
  <c r="D418" i="5"/>
  <c r="D417" i="5"/>
  <c r="D416" i="5"/>
  <c r="D415" i="5"/>
  <c r="D414" i="5"/>
  <c r="D413" i="5"/>
  <c r="D412" i="5"/>
  <c r="D411" i="5"/>
  <c r="D410" i="5"/>
  <c r="D409" i="5"/>
  <c r="D408" i="5"/>
  <c r="D395" i="5"/>
  <c r="D394" i="5"/>
  <c r="D393" i="5"/>
  <c r="D392" i="5"/>
  <c r="D391" i="5"/>
  <c r="D390" i="5"/>
  <c r="D389" i="5"/>
  <c r="D388" i="5"/>
  <c r="D387" i="5"/>
  <c r="D386" i="5"/>
  <c r="D385" i="5"/>
  <c r="D384" i="5"/>
  <c r="D371" i="5"/>
  <c r="D370" i="5"/>
  <c r="D369" i="5"/>
  <c r="D368" i="5"/>
  <c r="D367" i="5"/>
  <c r="D366" i="5"/>
  <c r="D365" i="5"/>
  <c r="D364" i="5"/>
  <c r="D363" i="5"/>
  <c r="D362" i="5"/>
  <c r="D361" i="5"/>
  <c r="D360" i="5"/>
  <c r="D348" i="5"/>
  <c r="D347" i="5"/>
  <c r="D346" i="5"/>
  <c r="D345" i="5"/>
  <c r="D344" i="5"/>
  <c r="D343" i="5"/>
  <c r="D342" i="5"/>
  <c r="D341" i="5"/>
  <c r="D340" i="5"/>
  <c r="D339" i="5"/>
  <c r="D338" i="5"/>
  <c r="D337" i="5"/>
  <c r="D324" i="5"/>
  <c r="D323" i="5"/>
  <c r="D322" i="5"/>
  <c r="D321" i="5"/>
  <c r="D320" i="5"/>
  <c r="D319" i="5"/>
  <c r="D318" i="5"/>
  <c r="D317" i="5"/>
  <c r="D316" i="5"/>
  <c r="D315" i="5"/>
  <c r="D314" i="5"/>
  <c r="D313" i="5"/>
  <c r="D298" i="5"/>
  <c r="D297" i="5"/>
  <c r="D296" i="5"/>
  <c r="D295" i="5"/>
  <c r="D294" i="5"/>
  <c r="D293" i="5"/>
  <c r="D292" i="5"/>
  <c r="D291" i="5"/>
  <c r="D290" i="5"/>
  <c r="D289" i="5"/>
  <c r="D288" i="5"/>
  <c r="D287" i="5"/>
  <c r="D274" i="5"/>
  <c r="D273" i="5"/>
  <c r="D272" i="5"/>
  <c r="D271" i="5"/>
  <c r="D270" i="5"/>
  <c r="D269" i="5"/>
  <c r="D268" i="5"/>
  <c r="D267" i="5"/>
  <c r="D266" i="5"/>
  <c r="D265" i="5"/>
  <c r="D264" i="5"/>
  <c r="D263" i="5"/>
  <c r="D250" i="5"/>
  <c r="D249" i="5"/>
  <c r="D248" i="5"/>
  <c r="D247" i="5"/>
  <c r="D246" i="5"/>
  <c r="D245" i="5"/>
  <c r="D244" i="5"/>
  <c r="D243" i="5"/>
  <c r="D242" i="5"/>
  <c r="D241" i="5"/>
  <c r="D240" i="5"/>
  <c r="D239" i="5"/>
  <c r="D225" i="5"/>
  <c r="D224" i="5"/>
  <c r="D223" i="5"/>
  <c r="D222" i="5"/>
  <c r="D221" i="5"/>
  <c r="D220" i="5"/>
  <c r="D219" i="5"/>
  <c r="D218" i="5"/>
  <c r="D217" i="5"/>
  <c r="D216" i="5"/>
  <c r="D215" i="5"/>
  <c r="D214" i="5"/>
  <c r="D202" i="5"/>
  <c r="D201" i="5"/>
  <c r="D200" i="5"/>
  <c r="D199" i="5"/>
  <c r="D198" i="5"/>
  <c r="D197" i="5"/>
  <c r="D196" i="5"/>
  <c r="D195" i="5"/>
  <c r="D194" i="5"/>
  <c r="D193" i="5"/>
  <c r="D192" i="5"/>
  <c r="D191" i="5"/>
  <c r="D178" i="5"/>
  <c r="D177" i="5"/>
  <c r="D176" i="5"/>
  <c r="D175" i="5"/>
  <c r="D174" i="5"/>
  <c r="D173" i="5"/>
  <c r="D172" i="5"/>
  <c r="D171" i="5"/>
  <c r="D170" i="5"/>
  <c r="D169" i="5"/>
  <c r="D168" i="5"/>
  <c r="D167" i="5"/>
  <c r="D154" i="5"/>
  <c r="D153" i="5"/>
  <c r="D152" i="5"/>
  <c r="D151" i="5"/>
  <c r="D150" i="5"/>
  <c r="D149" i="5"/>
  <c r="D148" i="5"/>
  <c r="D147" i="5"/>
  <c r="D146" i="5"/>
  <c r="D145" i="5"/>
  <c r="D144" i="5"/>
  <c r="D143" i="5"/>
  <c r="D130" i="5"/>
  <c r="D129" i="5"/>
  <c r="D128" i="5"/>
  <c r="D127" i="5"/>
  <c r="D126" i="5"/>
  <c r="D125" i="5"/>
  <c r="D124" i="5"/>
  <c r="D123" i="5"/>
  <c r="D122" i="5"/>
  <c r="D121" i="5"/>
  <c r="D120" i="5"/>
  <c r="D119" i="5"/>
  <c r="D106" i="5"/>
  <c r="D105" i="5"/>
  <c r="D104" i="5"/>
  <c r="D103" i="5"/>
  <c r="D102" i="5"/>
  <c r="D101" i="5"/>
  <c r="D100" i="5"/>
  <c r="D99" i="5"/>
  <c r="D98" i="5"/>
  <c r="D97" i="5"/>
  <c r="D96" i="5"/>
  <c r="D95" i="5"/>
  <c r="D81" i="5"/>
  <c r="D80" i="5"/>
  <c r="D79" i="5"/>
  <c r="D78" i="5"/>
  <c r="D77" i="5"/>
  <c r="D76" i="5"/>
  <c r="D75" i="5"/>
  <c r="D74" i="5"/>
  <c r="D73" i="5"/>
  <c r="D72" i="5"/>
  <c r="D71" i="5"/>
  <c r="D70" i="5"/>
  <c r="D57" i="5"/>
  <c r="D56" i="5"/>
  <c r="D55" i="5"/>
  <c r="D54" i="5"/>
  <c r="D53" i="5"/>
  <c r="D52" i="5"/>
  <c r="D51" i="5"/>
  <c r="D50" i="5"/>
  <c r="D49" i="5"/>
  <c r="D48" i="5"/>
  <c r="D47" i="5"/>
  <c r="D46" i="5"/>
  <c r="D33" i="5"/>
  <c r="D32" i="5"/>
  <c r="D31" i="5"/>
  <c r="D30" i="5"/>
  <c r="D29" i="5"/>
  <c r="D28" i="5"/>
  <c r="D27" i="5"/>
  <c r="D26" i="5"/>
  <c r="D25" i="5"/>
  <c r="D24" i="5"/>
  <c r="D23" i="5"/>
  <c r="D22" i="5"/>
  <c r="G48" i="9"/>
  <c r="G49" i="9"/>
  <c r="G50" i="9"/>
  <c r="G51" i="9"/>
  <c r="G52" i="9"/>
  <c r="G53" i="9"/>
  <c r="G54" i="9"/>
  <c r="G55" i="9"/>
  <c r="G56" i="9"/>
  <c r="G57" i="9"/>
  <c r="G47" i="9"/>
  <c r="E122" i="4"/>
  <c r="F122" i="4"/>
  <c r="D122" i="4"/>
  <c r="G111" i="4"/>
  <c r="G112" i="4"/>
  <c r="G113" i="4"/>
  <c r="G114" i="4"/>
  <c r="G115" i="4"/>
  <c r="G116" i="4"/>
  <c r="G117" i="4"/>
  <c r="G118" i="4"/>
  <c r="G119" i="4"/>
  <c r="G120" i="4"/>
  <c r="G121" i="4"/>
  <c r="G110" i="4"/>
  <c r="D141" i="3"/>
  <c r="C141" i="3"/>
  <c r="C13" i="2"/>
  <c r="C18" i="4"/>
  <c r="H17" i="8" s="1"/>
  <c r="C19" i="4"/>
  <c r="H18" i="8" s="1"/>
  <c r="C20" i="4"/>
  <c r="H19" i="8" s="1"/>
  <c r="J19" i="8" s="1"/>
  <c r="K19" i="8" s="1"/>
  <c r="C21" i="4"/>
  <c r="H20" i="8" s="1"/>
  <c r="J20" i="8" s="1"/>
  <c r="K20" i="8" s="1"/>
  <c r="C22" i="4"/>
  <c r="H21" i="8" s="1"/>
  <c r="C23" i="4"/>
  <c r="H22" i="8" s="1"/>
  <c r="J22" i="8" s="1"/>
  <c r="K22" i="8" s="1"/>
  <c r="G22" i="8"/>
  <c r="I22" i="8"/>
  <c r="C24" i="4"/>
  <c r="H23" i="8" s="1"/>
  <c r="J23" i="8" s="1"/>
  <c r="K23" i="8" s="1"/>
  <c r="C25" i="4"/>
  <c r="H24" i="8" s="1"/>
  <c r="J24" i="8" s="1"/>
  <c r="K24" i="8" s="1"/>
  <c r="C26" i="4"/>
  <c r="H25" i="8" s="1"/>
  <c r="J25" i="8" s="1"/>
  <c r="K25" i="8" s="1"/>
  <c r="C27" i="4"/>
  <c r="H26" i="8" s="1"/>
  <c r="G26" i="8"/>
  <c r="I26" i="8"/>
  <c r="C28" i="4"/>
  <c r="H27" i="8" s="1"/>
  <c r="J27" i="8" s="1"/>
  <c r="K27" i="8" s="1"/>
  <c r="C17" i="4"/>
  <c r="H16" i="8" s="1"/>
  <c r="J16" i="8" s="1"/>
  <c r="C103" i="6"/>
  <c r="C34" i="6"/>
  <c r="D224" i="10"/>
  <c r="C166" i="6"/>
  <c r="H31" i="9"/>
  <c r="H32" i="9"/>
  <c r="H33" i="9"/>
  <c r="H34" i="9"/>
  <c r="H35" i="9"/>
  <c r="H36" i="9"/>
  <c r="H37" i="9"/>
  <c r="H38" i="9"/>
  <c r="H39" i="9"/>
  <c r="H40" i="9"/>
  <c r="H41" i="9"/>
  <c r="H30" i="9"/>
  <c r="G31" i="9"/>
  <c r="G32" i="9"/>
  <c r="G33" i="9"/>
  <c r="G34" i="9"/>
  <c r="G35" i="9"/>
  <c r="G36" i="9"/>
  <c r="G37" i="9"/>
  <c r="G38" i="9"/>
  <c r="G39" i="9"/>
  <c r="G40" i="9"/>
  <c r="G41" i="9"/>
  <c r="G30" i="9"/>
  <c r="B50" i="5"/>
  <c r="E39" i="3"/>
  <c r="C125" i="5" s="1"/>
  <c r="G35" i="13"/>
  <c r="F35" i="13"/>
  <c r="F34" i="13"/>
  <c r="C134" i="4"/>
  <c r="C145" i="10" s="1"/>
  <c r="E145" i="10" s="1"/>
  <c r="C135" i="4"/>
  <c r="C106" i="10" s="1"/>
  <c r="E106" i="10" s="1"/>
  <c r="C136" i="4"/>
  <c r="C127" i="10" s="1"/>
  <c r="E127" i="10" s="1"/>
  <c r="C137" i="4"/>
  <c r="C108" i="10" s="1"/>
  <c r="E108" i="10" s="1"/>
  <c r="D128" i="10"/>
  <c r="C138" i="4"/>
  <c r="C209" i="10" s="1"/>
  <c r="E209" i="10" s="1"/>
  <c r="C139" i="4"/>
  <c r="C90" i="10" s="1"/>
  <c r="E90" i="10" s="1"/>
  <c r="C140" i="4"/>
  <c r="C91" i="10" s="1"/>
  <c r="E91" i="10" s="1"/>
  <c r="C141" i="4"/>
  <c r="C152" i="10" s="1"/>
  <c r="E152" i="10" s="1"/>
  <c r="D152" i="10"/>
  <c r="C133" i="4"/>
  <c r="C124" i="10" s="1"/>
  <c r="E124" i="10" s="1"/>
  <c r="C132" i="4"/>
  <c r="C43" i="10" s="1"/>
  <c r="E43" i="10" s="1"/>
  <c r="C130" i="4"/>
  <c r="C22" i="10" s="1"/>
  <c r="E22" i="10" s="1"/>
  <c r="C129" i="4"/>
  <c r="C161" i="10" s="1"/>
  <c r="B159" i="3"/>
  <c r="C159" i="3"/>
  <c r="F25" i="6" s="1"/>
  <c r="E196" i="4"/>
  <c r="E66" i="12" s="1"/>
  <c r="D66" i="12"/>
  <c r="E197" i="4"/>
  <c r="E67" i="12" s="1"/>
  <c r="F67" i="12" s="1"/>
  <c r="D67" i="12"/>
  <c r="E198" i="4"/>
  <c r="E68" i="12" s="1"/>
  <c r="F68" i="12" s="1"/>
  <c r="E195" i="4"/>
  <c r="E65" i="12" s="1"/>
  <c r="E182" i="4"/>
  <c r="E53" i="12" s="1"/>
  <c r="D53" i="12"/>
  <c r="E183" i="4"/>
  <c r="E54" i="12" s="1"/>
  <c r="D54" i="12"/>
  <c r="E184" i="4"/>
  <c r="E55" i="12" s="1"/>
  <c r="F55" i="12" s="1"/>
  <c r="E181" i="4"/>
  <c r="E52" i="12" s="1"/>
  <c r="F52" i="12" s="1"/>
  <c r="E219" i="3"/>
  <c r="E31" i="12" s="1"/>
  <c r="F31" i="12" s="1"/>
  <c r="D31" i="12"/>
  <c r="E220" i="3"/>
  <c r="E32" i="12" s="1"/>
  <c r="F32" i="12" s="1"/>
  <c r="E221" i="3"/>
  <c r="E33" i="12" s="1"/>
  <c r="F33" i="12" s="1"/>
  <c r="E218" i="3"/>
  <c r="E30" i="12" s="1"/>
  <c r="F30" i="12" s="1"/>
  <c r="E205" i="3"/>
  <c r="E18" i="12" s="1"/>
  <c r="F18" i="12" s="1"/>
  <c r="D18" i="12"/>
  <c r="E206" i="3"/>
  <c r="E19" i="12" s="1"/>
  <c r="F19" i="12" s="1"/>
  <c r="E207" i="3"/>
  <c r="E20" i="12" s="1"/>
  <c r="F20" i="12" s="1"/>
  <c r="E204" i="3"/>
  <c r="E17" i="12" s="1"/>
  <c r="F17" i="12" s="1"/>
  <c r="C28" i="3"/>
  <c r="C17" i="8"/>
  <c r="D17" i="8"/>
  <c r="C18" i="8"/>
  <c r="D18" i="8"/>
  <c r="C19" i="8"/>
  <c r="D19" i="8"/>
  <c r="C20" i="8"/>
  <c r="D20" i="8"/>
  <c r="C21" i="8"/>
  <c r="D21" i="8"/>
  <c r="C22" i="8"/>
  <c r="D22" i="8"/>
  <c r="C23" i="8"/>
  <c r="D23" i="8"/>
  <c r="C24" i="8"/>
  <c r="D24" i="8"/>
  <c r="C25" i="8"/>
  <c r="D25" i="8"/>
  <c r="C26" i="8"/>
  <c r="D26" i="8"/>
  <c r="C27" i="8"/>
  <c r="D27" i="8"/>
  <c r="D16" i="8"/>
  <c r="C16" i="8"/>
  <c r="C11" i="2"/>
  <c r="D17" i="15"/>
  <c r="E17" i="15"/>
  <c r="D18" i="15"/>
  <c r="E18" i="15"/>
  <c r="C18" i="15"/>
  <c r="H18" i="15" s="1"/>
  <c r="I18" i="15" s="1"/>
  <c r="F17" i="8"/>
  <c r="D19" i="15"/>
  <c r="E19" i="15"/>
  <c r="D20" i="15"/>
  <c r="E20" i="15"/>
  <c r="D21" i="15"/>
  <c r="H21" i="15" s="1"/>
  <c r="I21" i="15" s="1"/>
  <c r="E21" i="15"/>
  <c r="D22" i="15"/>
  <c r="E22" i="15"/>
  <c r="D23" i="15"/>
  <c r="E23" i="15"/>
  <c r="D24" i="15"/>
  <c r="E24" i="15"/>
  <c r="D25" i="15"/>
  <c r="E25" i="15"/>
  <c r="D26" i="15"/>
  <c r="E26" i="15"/>
  <c r="D27" i="15"/>
  <c r="E27" i="15"/>
  <c r="D28" i="15"/>
  <c r="E28" i="15"/>
  <c r="C28" i="15"/>
  <c r="H28" i="15" s="1"/>
  <c r="I28" i="15" s="1"/>
  <c r="F27" i="8"/>
  <c r="C19" i="15"/>
  <c r="H19" i="15" s="1"/>
  <c r="I19" i="15" s="1"/>
  <c r="C20" i="15"/>
  <c r="C21" i="15"/>
  <c r="C22" i="15"/>
  <c r="C23" i="15"/>
  <c r="H23" i="15" s="1"/>
  <c r="I23" i="15" s="1"/>
  <c r="C24" i="15"/>
  <c r="C25" i="15"/>
  <c r="F24" i="8"/>
  <c r="H25" i="15"/>
  <c r="I25" i="15" s="1"/>
  <c r="C26" i="15"/>
  <c r="C27" i="15"/>
  <c r="C17" i="15"/>
  <c r="H17" i="15" s="1"/>
  <c r="F16" i="8"/>
  <c r="C12" i="2"/>
  <c r="B428" i="5"/>
  <c r="B380" i="5"/>
  <c r="B333" i="5"/>
  <c r="B235" i="5"/>
  <c r="B187" i="5"/>
  <c r="B139" i="5"/>
  <c r="C43" i="12"/>
  <c r="D43" i="12"/>
  <c r="F43" i="12" s="1"/>
  <c r="F44" i="12" s="1"/>
  <c r="E43" i="12"/>
  <c r="B43" i="12"/>
  <c r="E78" i="12"/>
  <c r="D78" i="12"/>
  <c r="F78" i="12"/>
  <c r="C78" i="12"/>
  <c r="B78" i="12"/>
  <c r="B17" i="12"/>
  <c r="C17" i="12"/>
  <c r="D17" i="12"/>
  <c r="B18" i="12"/>
  <c r="C18" i="12"/>
  <c r="B19" i="12"/>
  <c r="C19" i="12"/>
  <c r="D19" i="12"/>
  <c r="B20" i="12"/>
  <c r="C20" i="12"/>
  <c r="D20" i="12"/>
  <c r="B21" i="12"/>
  <c r="C21" i="12"/>
  <c r="D21" i="12"/>
  <c r="E21" i="12"/>
  <c r="B22" i="12"/>
  <c r="C22" i="12"/>
  <c r="D22" i="12"/>
  <c r="E22" i="12"/>
  <c r="B23" i="12"/>
  <c r="C23" i="12"/>
  <c r="D23" i="12"/>
  <c r="E23" i="12"/>
  <c r="F23" i="12"/>
  <c r="B24" i="12"/>
  <c r="C24" i="12"/>
  <c r="D24" i="12"/>
  <c r="E24" i="12"/>
  <c r="F24" i="12" s="1"/>
  <c r="B25" i="12"/>
  <c r="C25" i="12"/>
  <c r="D25" i="12"/>
  <c r="F25" i="12" s="1"/>
  <c r="E25" i="12"/>
  <c r="B30" i="12"/>
  <c r="C30" i="12"/>
  <c r="D30" i="12"/>
  <c r="B31" i="12"/>
  <c r="C31" i="12"/>
  <c r="B32" i="12"/>
  <c r="C32" i="12"/>
  <c r="D32" i="12"/>
  <c r="B33" i="12"/>
  <c r="C33" i="12"/>
  <c r="D33" i="12"/>
  <c r="B34" i="12"/>
  <c r="C34" i="12"/>
  <c r="D34" i="12"/>
  <c r="F34" i="12" s="1"/>
  <c r="E34" i="12"/>
  <c r="B35" i="12"/>
  <c r="C35" i="12"/>
  <c r="D35" i="12"/>
  <c r="E35" i="12"/>
  <c r="F35" i="12" s="1"/>
  <c r="B36" i="12"/>
  <c r="C36" i="12"/>
  <c r="D36" i="12"/>
  <c r="E36" i="12"/>
  <c r="F36" i="12"/>
  <c r="B37" i="12"/>
  <c r="C37" i="12"/>
  <c r="D37" i="12"/>
  <c r="E37" i="12"/>
  <c r="F37" i="12"/>
  <c r="B38" i="12"/>
  <c r="C38" i="12"/>
  <c r="D38" i="12"/>
  <c r="E38" i="12"/>
  <c r="F38" i="12" s="1"/>
  <c r="B52" i="12"/>
  <c r="C52" i="12"/>
  <c r="D52" i="12"/>
  <c r="B53" i="12"/>
  <c r="C53" i="12"/>
  <c r="B54" i="12"/>
  <c r="C54" i="12"/>
  <c r="B55" i="12"/>
  <c r="C55" i="12"/>
  <c r="D55" i="12"/>
  <c r="B56" i="12"/>
  <c r="C56" i="12"/>
  <c r="D56" i="12"/>
  <c r="E56" i="12"/>
  <c r="B57" i="12"/>
  <c r="C57" i="12"/>
  <c r="D57" i="12"/>
  <c r="E57" i="12"/>
  <c r="F57" i="12"/>
  <c r="B58" i="12"/>
  <c r="C58" i="12"/>
  <c r="D58" i="12"/>
  <c r="E58" i="12"/>
  <c r="F58" i="12" s="1"/>
  <c r="B59" i="12"/>
  <c r="C59" i="12"/>
  <c r="D59" i="12"/>
  <c r="F59" i="12" s="1"/>
  <c r="E59" i="12"/>
  <c r="B60" i="12"/>
  <c r="C60" i="12"/>
  <c r="D60" i="12"/>
  <c r="E60" i="12"/>
  <c r="B65" i="12"/>
  <c r="C65" i="12"/>
  <c r="D65" i="12"/>
  <c r="B66" i="12"/>
  <c r="C66" i="12"/>
  <c r="B67" i="12"/>
  <c r="C67" i="12"/>
  <c r="B68" i="12"/>
  <c r="C68" i="12"/>
  <c r="D68" i="12"/>
  <c r="B69" i="12"/>
  <c r="C69" i="12"/>
  <c r="D69" i="12"/>
  <c r="E69" i="12"/>
  <c r="F69" i="12"/>
  <c r="B70" i="12"/>
  <c r="C70" i="12"/>
  <c r="D70" i="12"/>
  <c r="E70" i="12"/>
  <c r="F70" i="12" s="1"/>
  <c r="B71" i="12"/>
  <c r="C71" i="12"/>
  <c r="D71" i="12"/>
  <c r="F71" i="12" s="1"/>
  <c r="E71" i="12"/>
  <c r="B72" i="12"/>
  <c r="C72" i="12"/>
  <c r="D72" i="12"/>
  <c r="F72" i="12" s="1"/>
  <c r="E72" i="12"/>
  <c r="B73" i="12"/>
  <c r="C73" i="12"/>
  <c r="D73" i="12"/>
  <c r="E73" i="12"/>
  <c r="B21" i="10"/>
  <c r="D21" i="10"/>
  <c r="B22" i="10"/>
  <c r="D22" i="10"/>
  <c r="B23" i="10"/>
  <c r="D23" i="10"/>
  <c r="B24" i="10"/>
  <c r="D24" i="10"/>
  <c r="B25" i="10"/>
  <c r="D25" i="10"/>
  <c r="B26" i="10"/>
  <c r="D26" i="10"/>
  <c r="B27" i="10"/>
  <c r="D27" i="10"/>
  <c r="B28" i="10"/>
  <c r="D28" i="10"/>
  <c r="B29" i="10"/>
  <c r="D29" i="10"/>
  <c r="B30" i="10"/>
  <c r="D30" i="10"/>
  <c r="B31" i="10"/>
  <c r="D31" i="10"/>
  <c r="B32" i="10"/>
  <c r="D32" i="10"/>
  <c r="B41" i="10"/>
  <c r="D41" i="10"/>
  <c r="B42" i="10"/>
  <c r="D42" i="10"/>
  <c r="B43" i="10"/>
  <c r="D43" i="10"/>
  <c r="B44" i="10"/>
  <c r="D44" i="10"/>
  <c r="B45" i="10"/>
  <c r="D45" i="10"/>
  <c r="B46" i="10"/>
  <c r="D46" i="10"/>
  <c r="B47" i="10"/>
  <c r="D47" i="10"/>
  <c r="B48" i="10"/>
  <c r="D48" i="10"/>
  <c r="B49" i="10"/>
  <c r="D49" i="10"/>
  <c r="B50" i="10"/>
  <c r="D50" i="10"/>
  <c r="B51" i="10"/>
  <c r="D51" i="10"/>
  <c r="B52" i="10"/>
  <c r="D52" i="10"/>
  <c r="B61" i="10"/>
  <c r="D61" i="10"/>
  <c r="B62" i="10"/>
  <c r="D62" i="10"/>
  <c r="B63" i="10"/>
  <c r="D63" i="10"/>
  <c r="B64" i="10"/>
  <c r="D64" i="10"/>
  <c r="B65" i="10"/>
  <c r="D65" i="10"/>
  <c r="B66" i="10"/>
  <c r="D66" i="10"/>
  <c r="B67" i="10"/>
  <c r="D67" i="10"/>
  <c r="B68" i="10"/>
  <c r="D68" i="10"/>
  <c r="B69" i="10"/>
  <c r="D69" i="10"/>
  <c r="B70" i="10"/>
  <c r="D70" i="10"/>
  <c r="B71" i="10"/>
  <c r="D71" i="10"/>
  <c r="B72" i="10"/>
  <c r="D72" i="10"/>
  <c r="B81" i="10"/>
  <c r="D81" i="10"/>
  <c r="B82" i="10"/>
  <c r="D82" i="10"/>
  <c r="D83" i="10"/>
  <c r="D84" i="10"/>
  <c r="D85" i="10"/>
  <c r="D86" i="10"/>
  <c r="D87" i="10"/>
  <c r="D88" i="10"/>
  <c r="D89" i="10"/>
  <c r="D90" i="10"/>
  <c r="D91" i="10"/>
  <c r="D92" i="10"/>
  <c r="D93" i="10"/>
  <c r="B83" i="10"/>
  <c r="B84" i="10"/>
  <c r="B85" i="10"/>
  <c r="B86" i="10"/>
  <c r="B87" i="10"/>
  <c r="B88" i="10"/>
  <c r="B89" i="10"/>
  <c r="B90" i="10"/>
  <c r="B91" i="10"/>
  <c r="B92" i="10"/>
  <c r="B101" i="10"/>
  <c r="D101" i="10"/>
  <c r="B102" i="10"/>
  <c r="D102" i="10"/>
  <c r="B103" i="10"/>
  <c r="D103" i="10"/>
  <c r="B104" i="10"/>
  <c r="D104" i="10"/>
  <c r="B105" i="10"/>
  <c r="D105" i="10"/>
  <c r="B106" i="10"/>
  <c r="D106" i="10"/>
  <c r="B107" i="10"/>
  <c r="D107" i="10"/>
  <c r="B108" i="10"/>
  <c r="D108" i="10"/>
  <c r="B109" i="10"/>
  <c r="D109" i="10"/>
  <c r="B110" i="10"/>
  <c r="D110" i="10"/>
  <c r="B111" i="10"/>
  <c r="D111" i="10"/>
  <c r="B112" i="10"/>
  <c r="D112" i="10"/>
  <c r="B121" i="10"/>
  <c r="D121" i="10"/>
  <c r="D133" i="10" s="1"/>
  <c r="B122" i="10"/>
  <c r="D122" i="10"/>
  <c r="B123" i="10"/>
  <c r="D123" i="10"/>
  <c r="B124" i="10"/>
  <c r="D124" i="10"/>
  <c r="B125" i="10"/>
  <c r="D125" i="10"/>
  <c r="B126" i="10"/>
  <c r="D126" i="10"/>
  <c r="B127" i="10"/>
  <c r="D127" i="10"/>
  <c r="B128" i="10"/>
  <c r="B129" i="10"/>
  <c r="D129" i="10"/>
  <c r="B130" i="10"/>
  <c r="D130" i="10"/>
  <c r="B131" i="10"/>
  <c r="D131" i="10"/>
  <c r="B132" i="10"/>
  <c r="D132" i="10"/>
  <c r="B141" i="10"/>
  <c r="D141" i="10"/>
  <c r="B142" i="10"/>
  <c r="D142" i="10"/>
  <c r="B143" i="10"/>
  <c r="D143" i="10"/>
  <c r="B144" i="10"/>
  <c r="D144" i="10"/>
  <c r="B145" i="10"/>
  <c r="D145" i="10"/>
  <c r="B146" i="10"/>
  <c r="D146" i="10"/>
  <c r="B147" i="10"/>
  <c r="D147" i="10"/>
  <c r="B148" i="10"/>
  <c r="D148" i="10"/>
  <c r="B149" i="10"/>
  <c r="D149" i="10"/>
  <c r="B150" i="10"/>
  <c r="D150" i="10"/>
  <c r="B151" i="10"/>
  <c r="D151" i="10"/>
  <c r="B152" i="10"/>
  <c r="B161" i="10"/>
  <c r="D161" i="10"/>
  <c r="B162" i="10"/>
  <c r="D162" i="10"/>
  <c r="D173" i="10" s="1"/>
  <c r="B163" i="10"/>
  <c r="D163" i="10"/>
  <c r="B164" i="10"/>
  <c r="D164" i="10"/>
  <c r="B165" i="10"/>
  <c r="D165" i="10"/>
  <c r="B166" i="10"/>
  <c r="D166" i="10"/>
  <c r="B167" i="10"/>
  <c r="D167" i="10"/>
  <c r="B168" i="10"/>
  <c r="D168" i="10"/>
  <c r="B169" i="10"/>
  <c r="D169" i="10"/>
  <c r="B170" i="10"/>
  <c r="D170" i="10"/>
  <c r="B171" i="10"/>
  <c r="D171" i="10"/>
  <c r="B172" i="10"/>
  <c r="D172" i="10"/>
  <c r="B181" i="10"/>
  <c r="D181" i="10"/>
  <c r="B182" i="10"/>
  <c r="D182" i="10"/>
  <c r="D193" i="10" s="1"/>
  <c r="B183" i="10"/>
  <c r="D183" i="10"/>
  <c r="B184" i="10"/>
  <c r="D184" i="10"/>
  <c r="B185" i="10"/>
  <c r="D185" i="10"/>
  <c r="B186" i="10"/>
  <c r="D186" i="10"/>
  <c r="B187" i="10"/>
  <c r="D187" i="10"/>
  <c r="B188" i="10"/>
  <c r="D188" i="10"/>
  <c r="B189" i="10"/>
  <c r="D189" i="10"/>
  <c r="B190" i="10"/>
  <c r="D190" i="10"/>
  <c r="B191" i="10"/>
  <c r="D191" i="10"/>
  <c r="B192" i="10"/>
  <c r="D192" i="10"/>
  <c r="B201" i="10"/>
  <c r="D201" i="10"/>
  <c r="B202" i="10"/>
  <c r="D202" i="10"/>
  <c r="B203" i="10"/>
  <c r="D203" i="10"/>
  <c r="B204" i="10"/>
  <c r="D204" i="10"/>
  <c r="B205" i="10"/>
  <c r="D205" i="10"/>
  <c r="B206" i="10"/>
  <c r="D206" i="10"/>
  <c r="B207" i="10"/>
  <c r="D207" i="10"/>
  <c r="B208" i="10"/>
  <c r="D208" i="10"/>
  <c r="B209" i="10"/>
  <c r="D209" i="10"/>
  <c r="B210" i="10"/>
  <c r="D210" i="10"/>
  <c r="B211" i="10"/>
  <c r="D211" i="10"/>
  <c r="B212" i="10"/>
  <c r="D212" i="10"/>
  <c r="E16" i="8"/>
  <c r="I16" i="8"/>
  <c r="E17" i="8"/>
  <c r="I17" i="8"/>
  <c r="L17" i="8" s="1"/>
  <c r="E18" i="8"/>
  <c r="F18" i="8"/>
  <c r="I18" i="8"/>
  <c r="E19" i="8"/>
  <c r="F19" i="8"/>
  <c r="I19" i="8"/>
  <c r="E20" i="8"/>
  <c r="F20" i="8"/>
  <c r="I20" i="8"/>
  <c r="E21" i="8"/>
  <c r="F21" i="8"/>
  <c r="I21" i="8"/>
  <c r="E22" i="8"/>
  <c r="F22" i="8"/>
  <c r="E23" i="8"/>
  <c r="F23" i="8"/>
  <c r="H24" i="15" s="1"/>
  <c r="I24" i="15" s="1"/>
  <c r="I23" i="8"/>
  <c r="E24" i="8"/>
  <c r="I24" i="8"/>
  <c r="E25" i="8"/>
  <c r="F25" i="8"/>
  <c r="I25" i="8"/>
  <c r="E26" i="8"/>
  <c r="F26" i="8"/>
  <c r="E27" i="8"/>
  <c r="I27" i="8"/>
  <c r="B32" i="7"/>
  <c r="B32" i="2" s="1"/>
  <c r="B33" i="7"/>
  <c r="B33" i="2" s="1"/>
  <c r="B34" i="7"/>
  <c r="B34" i="2"/>
  <c r="B35" i="7"/>
  <c r="B35" i="2" s="1"/>
  <c r="B36" i="7"/>
  <c r="B36" i="2"/>
  <c r="B37" i="7"/>
  <c r="B37" i="2" s="1"/>
  <c r="B38" i="7"/>
  <c r="B38" i="2" s="1"/>
  <c r="B39" i="7"/>
  <c r="B39" i="2" s="1"/>
  <c r="B40" i="7"/>
  <c r="B40" i="2"/>
  <c r="B41" i="7"/>
  <c r="B41" i="2" s="1"/>
  <c r="B42" i="7"/>
  <c r="B42" i="2"/>
  <c r="B43" i="7"/>
  <c r="B43" i="2" s="1"/>
  <c r="B44" i="7"/>
  <c r="B44" i="2"/>
  <c r="B16" i="6"/>
  <c r="D18" i="6"/>
  <c r="D19" i="6"/>
  <c r="D20" i="6"/>
  <c r="D21" i="6"/>
  <c r="D22" i="6"/>
  <c r="D23" i="6"/>
  <c r="D24" i="6"/>
  <c r="D25" i="6"/>
  <c r="D26" i="6"/>
  <c r="D27" i="6"/>
  <c r="B30" i="6"/>
  <c r="D32" i="6"/>
  <c r="D33" i="6"/>
  <c r="D34" i="6"/>
  <c r="D35" i="6"/>
  <c r="D36" i="6"/>
  <c r="D37" i="6"/>
  <c r="D38" i="6"/>
  <c r="D39" i="6"/>
  <c r="D40" i="6"/>
  <c r="D41" i="6"/>
  <c r="B44" i="6"/>
  <c r="D46" i="6"/>
  <c r="D47" i="6"/>
  <c r="D48" i="6"/>
  <c r="D49" i="6"/>
  <c r="D50" i="6"/>
  <c r="D51" i="6"/>
  <c r="D52" i="6"/>
  <c r="D53" i="6"/>
  <c r="D54" i="6"/>
  <c r="D55" i="6"/>
  <c r="B58" i="6"/>
  <c r="D60" i="6"/>
  <c r="D61" i="6"/>
  <c r="D62" i="6"/>
  <c r="D63" i="6"/>
  <c r="D64" i="6"/>
  <c r="D65" i="6"/>
  <c r="D66" i="6"/>
  <c r="D67" i="6"/>
  <c r="D68" i="6"/>
  <c r="D69" i="6"/>
  <c r="B72" i="6"/>
  <c r="D74" i="6"/>
  <c r="D75" i="6"/>
  <c r="D76" i="6"/>
  <c r="D77" i="6"/>
  <c r="D78" i="6"/>
  <c r="D79" i="6"/>
  <c r="D80" i="6"/>
  <c r="D81" i="6"/>
  <c r="D82" i="6"/>
  <c r="D83" i="6"/>
  <c r="B86" i="6"/>
  <c r="D88" i="6"/>
  <c r="D89" i="6"/>
  <c r="D90" i="6"/>
  <c r="D91" i="6"/>
  <c r="D92" i="6"/>
  <c r="D93" i="6"/>
  <c r="D94" i="6"/>
  <c r="D95" i="6"/>
  <c r="D96" i="6"/>
  <c r="D97" i="6"/>
  <c r="B100" i="6"/>
  <c r="D102" i="6"/>
  <c r="D103" i="6"/>
  <c r="D104" i="6"/>
  <c r="D105" i="6"/>
  <c r="D106" i="6"/>
  <c r="D107" i="6"/>
  <c r="D108" i="6"/>
  <c r="D109" i="6"/>
  <c r="D110" i="6"/>
  <c r="D111" i="6"/>
  <c r="B114" i="6"/>
  <c r="D116" i="6"/>
  <c r="D117" i="6"/>
  <c r="D118" i="6"/>
  <c r="D119" i="6"/>
  <c r="D120" i="6"/>
  <c r="D121" i="6"/>
  <c r="D122" i="6"/>
  <c r="D123" i="6"/>
  <c r="D124" i="6"/>
  <c r="D125" i="6"/>
  <c r="B128" i="6"/>
  <c r="D130" i="6"/>
  <c r="D131" i="6"/>
  <c r="D132" i="6"/>
  <c r="D133" i="6"/>
  <c r="D134" i="6"/>
  <c r="D135" i="6"/>
  <c r="D136" i="6"/>
  <c r="D137" i="6"/>
  <c r="D138" i="6"/>
  <c r="D139" i="6"/>
  <c r="B142" i="6"/>
  <c r="D144" i="6"/>
  <c r="D145" i="6"/>
  <c r="D146" i="6"/>
  <c r="D147" i="6"/>
  <c r="D148" i="6"/>
  <c r="D149" i="6"/>
  <c r="D150" i="6"/>
  <c r="D151" i="6"/>
  <c r="D152" i="6"/>
  <c r="D153" i="6"/>
  <c r="B156" i="6"/>
  <c r="D158" i="6"/>
  <c r="D159" i="6"/>
  <c r="D160" i="6"/>
  <c r="D161" i="6"/>
  <c r="D162" i="6"/>
  <c r="D163" i="6"/>
  <c r="D164" i="6"/>
  <c r="D165" i="6"/>
  <c r="D166" i="6"/>
  <c r="D167" i="6"/>
  <c r="C18" i="5"/>
  <c r="C42" i="5"/>
  <c r="B91" i="5"/>
  <c r="C66" i="5"/>
  <c r="C91" i="5"/>
  <c r="C115" i="5"/>
  <c r="C139" i="5"/>
  <c r="C163" i="5"/>
  <c r="C187" i="5"/>
  <c r="C210" i="5"/>
  <c r="C235" i="5"/>
  <c r="C259" i="5"/>
  <c r="C283" i="5"/>
  <c r="C309" i="5"/>
  <c r="C333" i="5"/>
  <c r="C356" i="5"/>
  <c r="C380" i="5"/>
  <c r="C404" i="5"/>
  <c r="C428" i="5"/>
  <c r="C452" i="5"/>
  <c r="C476" i="5"/>
  <c r="B146" i="4"/>
  <c r="B147" i="4"/>
  <c r="B150" i="4"/>
  <c r="B151" i="4"/>
  <c r="B152" i="4"/>
  <c r="B153" i="4"/>
  <c r="B154" i="4"/>
  <c r="B155" i="4"/>
  <c r="B156" i="4"/>
  <c r="B157" i="4"/>
  <c r="B158" i="4"/>
  <c r="B159" i="4"/>
  <c r="I190" i="3"/>
  <c r="C151" i="6"/>
  <c r="C54" i="6"/>
  <c r="D93" i="3"/>
  <c r="C19" i="5"/>
  <c r="D94" i="3"/>
  <c r="C67" i="5"/>
  <c r="D95" i="3"/>
  <c r="E118" i="6"/>
  <c r="D96" i="3"/>
  <c r="E21" i="6"/>
  <c r="C77" i="10" s="1"/>
  <c r="D97" i="3"/>
  <c r="D98" i="3"/>
  <c r="E107" i="6"/>
  <c r="D99" i="3"/>
  <c r="D100" i="3"/>
  <c r="E67" i="6"/>
  <c r="E39" i="6"/>
  <c r="D101" i="3"/>
  <c r="D102" i="3"/>
  <c r="E69" i="6"/>
  <c r="B18" i="6"/>
  <c r="B62" i="6"/>
  <c r="B134" i="6"/>
  <c r="B102" i="4"/>
  <c r="B110" i="6"/>
  <c r="B138" i="3"/>
  <c r="B139" i="3"/>
  <c r="B160" i="3"/>
  <c r="C160" i="3"/>
  <c r="F37" i="6" s="1"/>
  <c r="B161" i="3"/>
  <c r="C161" i="3"/>
  <c r="F53" i="6" s="1"/>
  <c r="B162" i="3"/>
  <c r="C162" i="3"/>
  <c r="F63" i="6" s="1"/>
  <c r="B163" i="3"/>
  <c r="C163" i="3" s="1"/>
  <c r="F81" i="6" s="1"/>
  <c r="B164" i="3"/>
  <c r="C164" i="3"/>
  <c r="F93" i="6" s="1"/>
  <c r="B165" i="3"/>
  <c r="C165" i="3"/>
  <c r="F102" i="6" s="1"/>
  <c r="B166" i="3"/>
  <c r="C166" i="3"/>
  <c r="F120" i="6" s="1"/>
  <c r="B167" i="3"/>
  <c r="C167" i="3" s="1"/>
  <c r="F130" i="6" s="1"/>
  <c r="B168" i="3"/>
  <c r="C168" i="3"/>
  <c r="F144" i="6" s="1"/>
  <c r="B169" i="3"/>
  <c r="C169" i="3"/>
  <c r="F160" i="6" s="1"/>
  <c r="B175" i="3"/>
  <c r="B176" i="3"/>
  <c r="C190" i="3"/>
  <c r="D190" i="3"/>
  <c r="B179" i="3"/>
  <c r="B180" i="3"/>
  <c r="B181" i="3"/>
  <c r="B182" i="3"/>
  <c r="B183" i="3"/>
  <c r="B184" i="3"/>
  <c r="B185" i="3"/>
  <c r="B186" i="3"/>
  <c r="B187" i="3"/>
  <c r="B188" i="3"/>
  <c r="B189" i="3"/>
  <c r="C24" i="6"/>
  <c r="D226" i="10"/>
  <c r="C122" i="6"/>
  <c r="C49" i="6"/>
  <c r="B94" i="6"/>
  <c r="G27" i="8"/>
  <c r="G25" i="8"/>
  <c r="G23" i="8"/>
  <c r="L23" i="8"/>
  <c r="M23" i="8" s="1"/>
  <c r="G21" i="8"/>
  <c r="L21" i="8" s="1"/>
  <c r="M21" i="8" s="1"/>
  <c r="G19" i="8"/>
  <c r="G17" i="8"/>
  <c r="G24" i="8"/>
  <c r="L24" i="8"/>
  <c r="M24" i="8" s="1"/>
  <c r="L22" i="8"/>
  <c r="M22" i="8" s="1"/>
  <c r="G20" i="8"/>
  <c r="G18" i="8"/>
  <c r="G28" i="8" s="1"/>
  <c r="B138" i="6"/>
  <c r="B100" i="4"/>
  <c r="C100" i="4"/>
  <c r="G15" i="9"/>
  <c r="E123" i="6"/>
  <c r="B64" i="6"/>
  <c r="B22" i="7"/>
  <c r="B23" i="2"/>
  <c r="B22" i="6"/>
  <c r="B26" i="6"/>
  <c r="B228" i="10"/>
  <c r="E162" i="6"/>
  <c r="B221" i="10"/>
  <c r="E81" i="6"/>
  <c r="E66" i="6"/>
  <c r="E24" i="6"/>
  <c r="C137" i="10" s="1"/>
  <c r="B24" i="6"/>
  <c r="G16" i="8"/>
  <c r="B76" i="6"/>
  <c r="B108" i="6"/>
  <c r="B139" i="6"/>
  <c r="B89" i="6"/>
  <c r="C62" i="6"/>
  <c r="G190" i="3"/>
  <c r="J190" i="3"/>
  <c r="C82" i="6"/>
  <c r="C260" i="5"/>
  <c r="E150" i="6"/>
  <c r="C20" i="6"/>
  <c r="C164" i="6"/>
  <c r="C66" i="6"/>
  <c r="C80" i="6"/>
  <c r="C148" i="6"/>
  <c r="C136" i="6"/>
  <c r="B50" i="6"/>
  <c r="B160" i="6"/>
  <c r="B148" i="6"/>
  <c r="B106" i="6"/>
  <c r="B52" i="6"/>
  <c r="B54" i="6"/>
  <c r="B26" i="7"/>
  <c r="B27" i="2"/>
  <c r="B122" i="6"/>
  <c r="B20" i="6"/>
  <c r="B36" i="6"/>
  <c r="B41" i="6"/>
  <c r="B101" i="4"/>
  <c r="C101" i="4"/>
  <c r="B125" i="6"/>
  <c r="B105" i="4"/>
  <c r="C105" i="4"/>
  <c r="L15" i="9"/>
  <c r="B111" i="6"/>
  <c r="B27" i="7"/>
  <c r="B28" i="2"/>
  <c r="B83" i="6"/>
  <c r="B97" i="6"/>
  <c r="B153" i="6"/>
  <c r="B67" i="6"/>
  <c r="B95" i="6"/>
  <c r="B121" i="6"/>
  <c r="B117" i="6"/>
  <c r="B97" i="4"/>
  <c r="C97" i="4"/>
  <c r="D15" i="9"/>
  <c r="B33" i="6"/>
  <c r="E139" i="6"/>
  <c r="E110" i="6"/>
  <c r="C77" i="6"/>
  <c r="D223" i="10"/>
  <c r="K190" i="3"/>
  <c r="B167" i="6"/>
  <c r="B27" i="6"/>
  <c r="B165" i="6"/>
  <c r="B145" i="6"/>
  <c r="C161" i="6"/>
  <c r="C81" i="6"/>
  <c r="E83" i="6"/>
  <c r="B229" i="10"/>
  <c r="B65" i="6"/>
  <c r="B75" i="6"/>
  <c r="E82" i="6"/>
  <c r="E90" i="6"/>
  <c r="C95" i="6"/>
  <c r="C165" i="6"/>
  <c r="C53" i="6"/>
  <c r="C25" i="6"/>
  <c r="C67" i="6"/>
  <c r="C137" i="6"/>
  <c r="C109" i="6"/>
  <c r="D227" i="10"/>
  <c r="C93" i="6"/>
  <c r="C63" i="6"/>
  <c r="C21" i="6"/>
  <c r="C35" i="6"/>
  <c r="C147" i="6"/>
  <c r="C105" i="6"/>
  <c r="C145" i="6"/>
  <c r="C133" i="6"/>
  <c r="C39" i="6"/>
  <c r="C119" i="6"/>
  <c r="C91" i="6"/>
  <c r="C123" i="6"/>
  <c r="C33" i="6"/>
  <c r="B69" i="6"/>
  <c r="B55" i="6"/>
  <c r="B109" i="6"/>
  <c r="C152" i="6"/>
  <c r="F22" i="12"/>
  <c r="B19" i="7"/>
  <c r="B20" i="2"/>
  <c r="C108" i="6"/>
  <c r="C94" i="6"/>
  <c r="C150" i="6"/>
  <c r="E266" i="5"/>
  <c r="H190" i="3"/>
  <c r="L190" i="3"/>
  <c r="B133" i="6"/>
  <c r="B35" i="6"/>
  <c r="B147" i="6"/>
  <c r="F190" i="3"/>
  <c r="E68" i="6"/>
  <c r="B150" i="6"/>
  <c r="C138" i="6"/>
  <c r="C22" i="6"/>
  <c r="B66" i="6"/>
  <c r="B38" i="6"/>
  <c r="C162" i="6"/>
  <c r="C50" i="6"/>
  <c r="E96" i="6"/>
  <c r="C405" i="5"/>
  <c r="E413" i="5" s="1"/>
  <c r="E419" i="5"/>
  <c r="B49" i="6"/>
  <c r="E54" i="6"/>
  <c r="B164" i="6"/>
  <c r="C124" i="6"/>
  <c r="B24" i="7"/>
  <c r="B25" i="2"/>
  <c r="F56" i="12"/>
  <c r="B21" i="7"/>
  <c r="B22" i="2"/>
  <c r="E40" i="6"/>
  <c r="B161" i="6"/>
  <c r="B105" i="6"/>
  <c r="B136" i="6"/>
  <c r="B80" i="6"/>
  <c r="C96" i="6"/>
  <c r="B91" i="6"/>
  <c r="B226" i="10"/>
  <c r="B132" i="6"/>
  <c r="F79" i="12"/>
  <c r="H27" i="15"/>
  <c r="I27" i="15" s="1"/>
  <c r="H20" i="15"/>
  <c r="I20" i="15"/>
  <c r="L25" i="8"/>
  <c r="M25" i="8" s="1"/>
  <c r="L19" i="8"/>
  <c r="M19" i="8"/>
  <c r="D153" i="10"/>
  <c r="H26" i="15"/>
  <c r="I26" i="15" s="1"/>
  <c r="H22" i="15"/>
  <c r="I22" i="15"/>
  <c r="E62" i="6"/>
  <c r="E76" i="6"/>
  <c r="B20" i="7"/>
  <c r="B21" i="2"/>
  <c r="B144" i="6"/>
  <c r="B102" i="6"/>
  <c r="B32" i="6"/>
  <c r="B130" i="6"/>
  <c r="E190" i="3"/>
  <c r="E34" i="6"/>
  <c r="C116" i="5"/>
  <c r="E130" i="5" s="1"/>
  <c r="E128" i="5"/>
  <c r="E146" i="6"/>
  <c r="E132" i="6"/>
  <c r="E160" i="6"/>
  <c r="B159" i="6"/>
  <c r="B47" i="6"/>
  <c r="B61" i="6"/>
  <c r="E20" i="6"/>
  <c r="C57" i="10"/>
  <c r="B19" i="6"/>
  <c r="E104" i="6"/>
  <c r="E48" i="6"/>
  <c r="B103" i="6"/>
  <c r="B131" i="6"/>
  <c r="C90" i="6"/>
  <c r="C146" i="6"/>
  <c r="C118" i="6"/>
  <c r="C132" i="6"/>
  <c r="C104" i="6"/>
  <c r="B85" i="4"/>
  <c r="E47" i="6"/>
  <c r="E33" i="6"/>
  <c r="E73" i="5"/>
  <c r="E98" i="5"/>
  <c r="E80" i="5"/>
  <c r="E81" i="5"/>
  <c r="E71" i="5"/>
  <c r="E74" i="5"/>
  <c r="E78" i="5"/>
  <c r="E19" i="6"/>
  <c r="C37" i="10" s="1"/>
  <c r="C92" i="5"/>
  <c r="E105" i="5"/>
  <c r="E70" i="5"/>
  <c r="E159" i="6"/>
  <c r="E131" i="6"/>
  <c r="E76" i="5"/>
  <c r="E95" i="5"/>
  <c r="E117" i="6"/>
  <c r="E75" i="6"/>
  <c r="B135" i="6"/>
  <c r="B149" i="6"/>
  <c r="B107" i="6"/>
  <c r="B51" i="6"/>
  <c r="B466" i="5"/>
  <c r="B347" i="5"/>
  <c r="B90" i="4"/>
  <c r="C27" i="6"/>
  <c r="C139" i="6"/>
  <c r="C83" i="6"/>
  <c r="C167" i="6"/>
  <c r="C111" i="6"/>
  <c r="C65" i="6"/>
  <c r="C121" i="6"/>
  <c r="C51" i="6"/>
  <c r="C135" i="6"/>
  <c r="C37" i="6"/>
  <c r="C41" i="6"/>
  <c r="D221" i="10"/>
  <c r="C107" i="6"/>
  <c r="C23" i="6"/>
  <c r="C117" i="6"/>
  <c r="C163" i="6"/>
  <c r="D213" i="10"/>
  <c r="B37" i="6"/>
  <c r="E97" i="6"/>
  <c r="C55" i="6"/>
  <c r="E111" i="6"/>
  <c r="B93" i="6"/>
  <c r="C453" i="5"/>
  <c r="B78" i="6"/>
  <c r="B104" i="6"/>
  <c r="E23" i="6"/>
  <c r="C117" i="10"/>
  <c r="E165" i="6"/>
  <c r="B124" i="6"/>
  <c r="B273" i="5"/>
  <c r="B194" i="5"/>
  <c r="C19" i="6"/>
  <c r="C61" i="6"/>
  <c r="C131" i="6"/>
  <c r="C75" i="6"/>
  <c r="C89" i="6"/>
  <c r="C69" i="6"/>
  <c r="B48" i="6"/>
  <c r="B98" i="4"/>
  <c r="C98" i="4"/>
  <c r="B222" i="10"/>
  <c r="B34" i="6"/>
  <c r="B118" i="6"/>
  <c r="E53" i="6"/>
  <c r="E95" i="6"/>
  <c r="E151" i="6"/>
  <c r="E109" i="6"/>
  <c r="D53" i="10"/>
  <c r="D33" i="10"/>
  <c r="B122" i="5"/>
  <c r="B19" i="8"/>
  <c r="B29" i="5"/>
  <c r="B53" i="4"/>
  <c r="B174" i="5"/>
  <c r="B439" i="5"/>
  <c r="B178" i="5"/>
  <c r="B491" i="5"/>
  <c r="C68" i="6"/>
  <c r="C26" i="6"/>
  <c r="C110" i="6"/>
  <c r="D228" i="10"/>
  <c r="C78" i="6"/>
  <c r="C36" i="6"/>
  <c r="C106" i="6"/>
  <c r="C134" i="6"/>
  <c r="C64" i="6"/>
  <c r="C120" i="6"/>
  <c r="C92" i="6"/>
  <c r="C153" i="6"/>
  <c r="B225" i="10"/>
  <c r="D229" i="10"/>
  <c r="B163" i="6"/>
  <c r="C159" i="6"/>
  <c r="C149" i="6"/>
  <c r="C47" i="6"/>
  <c r="D225" i="10"/>
  <c r="C97" i="6"/>
  <c r="B23" i="7"/>
  <c r="B24" i="2"/>
  <c r="E153" i="6"/>
  <c r="E41" i="6"/>
  <c r="C125" i="6"/>
  <c r="E55" i="6"/>
  <c r="E27" i="6"/>
  <c r="C197" i="10"/>
  <c r="B79" i="6"/>
  <c r="B90" i="6"/>
  <c r="E137" i="6"/>
  <c r="B23" i="6"/>
  <c r="B146" i="6"/>
  <c r="C357" i="5"/>
  <c r="E364" i="5"/>
  <c r="C40" i="6"/>
  <c r="B152" i="6"/>
  <c r="B82" i="6"/>
  <c r="B40" i="6"/>
  <c r="B68" i="6"/>
  <c r="B166" i="6"/>
  <c r="B96" i="6"/>
  <c r="B104" i="4"/>
  <c r="C104" i="4" s="1"/>
  <c r="B92" i="6"/>
  <c r="B162" i="6"/>
  <c r="B120" i="6"/>
  <c r="B224" i="10"/>
  <c r="E51" i="6"/>
  <c r="E65" i="6"/>
  <c r="E149" i="6"/>
  <c r="E135" i="6"/>
  <c r="E163" i="6"/>
  <c r="C79" i="6"/>
  <c r="D73" i="10"/>
  <c r="B367" i="5"/>
  <c r="B267" i="5"/>
  <c r="B195" i="5"/>
  <c r="B26" i="5"/>
  <c r="B68" i="4"/>
  <c r="B317" i="5"/>
  <c r="B21" i="4"/>
  <c r="B20" i="8"/>
  <c r="B460" i="5"/>
  <c r="B484" i="5"/>
  <c r="B123" i="5"/>
  <c r="B74" i="5"/>
  <c r="H37" i="3"/>
  <c r="B116" i="6"/>
  <c r="B96" i="4"/>
  <c r="C52" i="6"/>
  <c r="C38" i="6"/>
  <c r="L20" i="8"/>
  <c r="M20" i="8"/>
  <c r="L16" i="8"/>
  <c r="M16" i="8"/>
  <c r="L26" i="8"/>
  <c r="M26" i="8"/>
  <c r="L27" i="8"/>
  <c r="M27" i="8"/>
  <c r="C76" i="6"/>
  <c r="C160" i="6"/>
  <c r="D222" i="10"/>
  <c r="C48" i="6"/>
  <c r="B18" i="7"/>
  <c r="B19" i="2"/>
  <c r="B60" i="6"/>
  <c r="B74" i="6"/>
  <c r="B158" i="6"/>
  <c r="B88" i="6"/>
  <c r="B46" i="6"/>
  <c r="B220" i="10"/>
  <c r="B434" i="5"/>
  <c r="B48" i="4"/>
  <c r="B19" i="4"/>
  <c r="B390" i="5"/>
  <c r="B70" i="4"/>
  <c r="B149" i="5"/>
  <c r="B149" i="3"/>
  <c r="B197" i="5"/>
  <c r="B23" i="4"/>
  <c r="B343" i="5"/>
  <c r="B28" i="5"/>
  <c r="B438" i="5"/>
  <c r="B52" i="4"/>
  <c r="B86" i="4"/>
  <c r="H39" i="3"/>
  <c r="B366" i="5"/>
  <c r="B458" i="5"/>
  <c r="B106" i="5"/>
  <c r="B388" i="5"/>
  <c r="B34" i="9"/>
  <c r="B324" i="5"/>
  <c r="B436" i="5"/>
  <c r="B49" i="5"/>
  <c r="B363" i="5"/>
  <c r="B290" i="5"/>
  <c r="B19" i="9"/>
  <c r="B320" i="5"/>
  <c r="B23" i="8"/>
  <c r="B126" i="5"/>
  <c r="B150" i="5"/>
  <c r="B84" i="4"/>
  <c r="B147" i="5"/>
  <c r="B20" i="9"/>
  <c r="B412" i="5"/>
  <c r="B291" i="5"/>
  <c r="B171" i="5"/>
  <c r="B51" i="9"/>
  <c r="B50" i="4"/>
  <c r="B341" i="5"/>
  <c r="B218" i="5"/>
  <c r="B99" i="5"/>
  <c r="B21" i="15"/>
  <c r="B364" i="5"/>
  <c r="B225" i="5"/>
  <c r="B395" i="5"/>
  <c r="B419" i="5"/>
  <c r="B467" i="5"/>
  <c r="B75" i="5"/>
  <c r="B51" i="5"/>
  <c r="B148" i="3"/>
  <c r="B69" i="4"/>
  <c r="E416" i="5"/>
  <c r="E412" i="5"/>
  <c r="C429" i="5"/>
  <c r="E432" i="5" s="1"/>
  <c r="E410" i="5"/>
  <c r="E418" i="5"/>
  <c r="E409" i="5"/>
  <c r="E415" i="5"/>
  <c r="E408" i="5"/>
  <c r="E414" i="5"/>
  <c r="E411" i="5"/>
  <c r="E417" i="5"/>
  <c r="C15" i="9"/>
  <c r="E124" i="5"/>
  <c r="E121" i="5"/>
  <c r="E123" i="5"/>
  <c r="C140" i="5"/>
  <c r="E144" i="5" s="1"/>
  <c r="E125" i="5"/>
  <c r="E120" i="5"/>
  <c r="E127" i="5"/>
  <c r="E119" i="5"/>
  <c r="E122" i="5"/>
  <c r="E129" i="5"/>
  <c r="E147" i="5"/>
  <c r="E362" i="5"/>
  <c r="E367" i="5"/>
  <c r="E361" i="5"/>
  <c r="E365" i="5"/>
  <c r="E368" i="5"/>
  <c r="E369" i="5"/>
  <c r="E370" i="5"/>
  <c r="G34" i="6"/>
  <c r="E460" i="5"/>
  <c r="E458" i="5"/>
  <c r="E461" i="5"/>
  <c r="E465" i="5"/>
  <c r="E462" i="5"/>
  <c r="E457" i="5"/>
  <c r="E464" i="5"/>
  <c r="E459" i="5"/>
  <c r="E467" i="5"/>
  <c r="E463" i="5"/>
  <c r="C477" i="5"/>
  <c r="E466" i="5"/>
  <c r="E456" i="5"/>
  <c r="E441" i="5"/>
  <c r="E434" i="5"/>
  <c r="E438" i="5"/>
  <c r="E443" i="5"/>
  <c r="E145" i="5"/>
  <c r="E149" i="5"/>
  <c r="E486" i="5"/>
  <c r="E489" i="5"/>
  <c r="E482" i="5"/>
  <c r="E481" i="5"/>
  <c r="E484" i="5"/>
  <c r="E485" i="5"/>
  <c r="E487" i="5"/>
  <c r="E488" i="5"/>
  <c r="E491" i="5"/>
  <c r="E490" i="5"/>
  <c r="E480" i="5"/>
  <c r="E483" i="5"/>
  <c r="E63" i="6"/>
  <c r="E105" i="6"/>
  <c r="C164" i="5"/>
  <c r="E169" i="5" s="1"/>
  <c r="E119" i="6"/>
  <c r="E173" i="5"/>
  <c r="E77" i="6"/>
  <c r="E147" i="6"/>
  <c r="E35" i="6"/>
  <c r="E49" i="6"/>
  <c r="E442" i="5"/>
  <c r="E440" i="5"/>
  <c r="E366" i="5"/>
  <c r="C381" i="5"/>
  <c r="E363" i="5"/>
  <c r="I15" i="9"/>
  <c r="C102" i="4"/>
  <c r="E101" i="5"/>
  <c r="E100" i="5"/>
  <c r="E145" i="6"/>
  <c r="E103" i="5"/>
  <c r="E96" i="5"/>
  <c r="E103" i="6"/>
  <c r="E61" i="6"/>
  <c r="E72" i="5"/>
  <c r="E79" i="5"/>
  <c r="E106" i="5"/>
  <c r="E97" i="5"/>
  <c r="E102" i="5"/>
  <c r="E437" i="5"/>
  <c r="E433" i="5"/>
  <c r="B99" i="4"/>
  <c r="E360" i="5"/>
  <c r="E371" i="5"/>
  <c r="H15" i="9"/>
  <c r="E15" i="9"/>
  <c r="B25" i="7"/>
  <c r="B26" i="2"/>
  <c r="B151" i="6"/>
  <c r="B227" i="10"/>
  <c r="B53" i="6"/>
  <c r="C114" i="3"/>
  <c r="G137" i="6" s="1"/>
  <c r="B39" i="6"/>
  <c r="B103" i="4"/>
  <c r="B137" i="6"/>
  <c r="B123" i="6"/>
  <c r="B81" i="6"/>
  <c r="B25" i="6"/>
  <c r="B223" i="10"/>
  <c r="B77" i="6"/>
  <c r="C110" i="3"/>
  <c r="G147" i="6" s="1"/>
  <c r="B21" i="6"/>
  <c r="B119" i="6"/>
  <c r="B63" i="6"/>
  <c r="E91" i="6"/>
  <c r="E161" i="6"/>
  <c r="E25" i="6"/>
  <c r="C157" i="10"/>
  <c r="E79" i="6"/>
  <c r="E133" i="6"/>
  <c r="E263" i="5"/>
  <c r="C131" i="10"/>
  <c r="E131" i="10" s="1"/>
  <c r="C71" i="10"/>
  <c r="E71" i="10" s="1"/>
  <c r="C165" i="10"/>
  <c r="E165" i="10" s="1"/>
  <c r="G41" i="6"/>
  <c r="C60" i="6"/>
  <c r="C96" i="4"/>
  <c r="C18" i="6"/>
  <c r="C74" i="6"/>
  <c r="C130" i="6"/>
  <c r="C111" i="10"/>
  <c r="C151" i="10"/>
  <c r="E151" i="10" s="1"/>
  <c r="C31" i="10"/>
  <c r="E31" i="10" s="1"/>
  <c r="F159" i="6"/>
  <c r="C144" i="6"/>
  <c r="C88" i="6"/>
  <c r="C102" i="6"/>
  <c r="C158" i="6"/>
  <c r="D220" i="10"/>
  <c r="C116" i="6"/>
  <c r="C32" i="6"/>
  <c r="E88" i="6"/>
  <c r="E144" i="6"/>
  <c r="E32" i="6"/>
  <c r="E25" i="5"/>
  <c r="E28" i="5"/>
  <c r="E23" i="5"/>
  <c r="E29" i="5"/>
  <c r="E130" i="6"/>
  <c r="E22" i="5"/>
  <c r="E74" i="6"/>
  <c r="E31" i="5"/>
  <c r="E102" i="6"/>
  <c r="E60" i="6"/>
  <c r="E32" i="5"/>
  <c r="E18" i="6"/>
  <c r="C17" i="10"/>
  <c r="E30" i="5"/>
  <c r="E46" i="6"/>
  <c r="E116" i="6"/>
  <c r="E27" i="5"/>
  <c r="E24" i="5"/>
  <c r="E158" i="6"/>
  <c r="E33" i="5"/>
  <c r="E26" i="5"/>
  <c r="C43" i="5"/>
  <c r="C188" i="5"/>
  <c r="E170" i="5"/>
  <c r="E171" i="5"/>
  <c r="E172" i="5"/>
  <c r="E168" i="5"/>
  <c r="E167" i="5"/>
  <c r="E174" i="5"/>
  <c r="E178" i="5"/>
  <c r="E175" i="5"/>
  <c r="E176" i="5"/>
  <c r="E196" i="5"/>
  <c r="E197" i="5"/>
  <c r="E200" i="5"/>
  <c r="E195" i="5"/>
  <c r="E192" i="5"/>
  <c r="E201" i="5"/>
  <c r="E193" i="5"/>
  <c r="E199" i="5"/>
  <c r="E194" i="5"/>
  <c r="E191" i="5"/>
  <c r="E202" i="5"/>
  <c r="E198" i="5"/>
  <c r="E395" i="5"/>
  <c r="E394" i="5"/>
  <c r="E392" i="5"/>
  <c r="E391" i="5"/>
  <c r="E393" i="5"/>
  <c r="E388" i="5"/>
  <c r="E384" i="5"/>
  <c r="E390" i="5"/>
  <c r="E389" i="5"/>
  <c r="E385" i="5"/>
  <c r="E386" i="5"/>
  <c r="E387" i="5"/>
  <c r="C103" i="4"/>
  <c r="J15" i="9"/>
  <c r="C99" i="4"/>
  <c r="F15" i="9"/>
  <c r="E46" i="5"/>
  <c r="E47" i="5"/>
  <c r="E55" i="5"/>
  <c r="E56" i="5"/>
  <c r="E57" i="5"/>
  <c r="E48" i="5"/>
  <c r="E52" i="5"/>
  <c r="E53" i="5"/>
  <c r="E51" i="5"/>
  <c r="E49" i="5"/>
  <c r="E50" i="5"/>
  <c r="E54" i="5"/>
  <c r="C45" i="10" l="1"/>
  <c r="E45" i="10" s="1"/>
  <c r="C205" i="10"/>
  <c r="E205" i="10" s="1"/>
  <c r="G104" i="6"/>
  <c r="G139" i="6"/>
  <c r="G167" i="6"/>
  <c r="F163" i="6"/>
  <c r="F32" i="6"/>
  <c r="G76" i="6"/>
  <c r="G111" i="6"/>
  <c r="G118" i="6"/>
  <c r="C70" i="10"/>
  <c r="E70" i="10" s="1"/>
  <c r="G62" i="6"/>
  <c r="G153" i="6"/>
  <c r="G20" i="6"/>
  <c r="F158" i="6"/>
  <c r="G69" i="6"/>
  <c r="H50" i="9"/>
  <c r="C189" i="10"/>
  <c r="E189" i="10" s="1"/>
  <c r="F90" i="6"/>
  <c r="H57" i="9"/>
  <c r="F94" i="6"/>
  <c r="H56" i="9"/>
  <c r="H55" i="9"/>
  <c r="H47" i="9"/>
  <c r="H54" i="9"/>
  <c r="H52" i="9"/>
  <c r="H53" i="9"/>
  <c r="H51" i="9"/>
  <c r="C149" i="10"/>
  <c r="E149" i="10" s="1"/>
  <c r="H48" i="9"/>
  <c r="H49" i="9"/>
  <c r="F95" i="6"/>
  <c r="F35" i="6"/>
  <c r="F36" i="6"/>
  <c r="F33" i="6"/>
  <c r="F145" i="6"/>
  <c r="F147" i="6"/>
  <c r="C42" i="10"/>
  <c r="E42" i="10" s="1"/>
  <c r="F150" i="6"/>
  <c r="C122" i="10"/>
  <c r="E122" i="10" s="1"/>
  <c r="C27" i="10"/>
  <c r="E27" i="10" s="1"/>
  <c r="C125" i="10"/>
  <c r="C164" i="10"/>
  <c r="E164" i="10" s="1"/>
  <c r="F65" i="6"/>
  <c r="F77" i="6"/>
  <c r="F79" i="6"/>
  <c r="F62" i="6"/>
  <c r="F61" i="6"/>
  <c r="F138" i="6"/>
  <c r="C143" i="10"/>
  <c r="E143" i="10" s="1"/>
  <c r="F136" i="6"/>
  <c r="C46" i="10"/>
  <c r="E46" i="10" s="1"/>
  <c r="F68" i="6"/>
  <c r="C23" i="10"/>
  <c r="E23" i="10" s="1"/>
  <c r="F67" i="6"/>
  <c r="F60" i="6"/>
  <c r="G80" i="6"/>
  <c r="C83" i="10"/>
  <c r="E83" i="10" s="1"/>
  <c r="F66" i="6"/>
  <c r="F106" i="6"/>
  <c r="C123" i="10"/>
  <c r="E123" i="10" s="1"/>
  <c r="C183" i="10"/>
  <c r="E183" i="10" s="1"/>
  <c r="C101" i="5"/>
  <c r="F64" i="6"/>
  <c r="F109" i="6"/>
  <c r="C203" i="10"/>
  <c r="E203" i="10" s="1"/>
  <c r="C103" i="10"/>
  <c r="E103" i="10" s="1"/>
  <c r="C48" i="10"/>
  <c r="E48" i="10" s="1"/>
  <c r="F69" i="6"/>
  <c r="C163" i="10"/>
  <c r="E163" i="10" s="1"/>
  <c r="C63" i="10"/>
  <c r="E63" i="10" s="1"/>
  <c r="F151" i="6"/>
  <c r="F111" i="6"/>
  <c r="F148" i="6"/>
  <c r="G123" i="6"/>
  <c r="C86" i="10"/>
  <c r="E86" i="10" s="1"/>
  <c r="F146" i="6"/>
  <c r="F105" i="6"/>
  <c r="C64" i="10"/>
  <c r="E64" i="10" s="1"/>
  <c r="G39" i="6"/>
  <c r="F153" i="6"/>
  <c r="F149" i="6"/>
  <c r="C44" i="10"/>
  <c r="E44" i="10" s="1"/>
  <c r="C204" i="10"/>
  <c r="C144" i="10"/>
  <c r="E144" i="10" s="1"/>
  <c r="C26" i="10"/>
  <c r="E26" i="10" s="1"/>
  <c r="C104" i="10"/>
  <c r="E104" i="10" s="1"/>
  <c r="C47" i="10"/>
  <c r="E47" i="10" s="1"/>
  <c r="F104" i="6"/>
  <c r="C146" i="10"/>
  <c r="E146" i="10" s="1"/>
  <c r="C206" i="10"/>
  <c r="E206" i="10" s="1"/>
  <c r="C184" i="10"/>
  <c r="E184" i="10" s="1"/>
  <c r="F162" i="6"/>
  <c r="F161" i="6"/>
  <c r="C66" i="10"/>
  <c r="E66" i="10" s="1"/>
  <c r="F118" i="6"/>
  <c r="C167" i="10"/>
  <c r="E167" i="10" s="1"/>
  <c r="F119" i="6"/>
  <c r="F108" i="6"/>
  <c r="F116" i="6"/>
  <c r="F122" i="6"/>
  <c r="C147" i="10"/>
  <c r="E147" i="10" s="1"/>
  <c r="C87" i="10"/>
  <c r="E87" i="10" s="1"/>
  <c r="F103" i="6"/>
  <c r="C192" i="10"/>
  <c r="E192" i="10" s="1"/>
  <c r="F166" i="6"/>
  <c r="F165" i="6"/>
  <c r="G102" i="6"/>
  <c r="F134" i="6"/>
  <c r="F121" i="6"/>
  <c r="F124" i="6"/>
  <c r="F125" i="6"/>
  <c r="C187" i="10"/>
  <c r="E187" i="10" s="1"/>
  <c r="C186" i="10"/>
  <c r="E186" i="10" s="1"/>
  <c r="C107" i="10"/>
  <c r="E107" i="10" s="1"/>
  <c r="F107" i="6"/>
  <c r="C112" i="10"/>
  <c r="E112" i="10" s="1"/>
  <c r="C24" i="10"/>
  <c r="E24" i="10" s="1"/>
  <c r="F167" i="6"/>
  <c r="C67" i="10"/>
  <c r="E67" i="10" s="1"/>
  <c r="G88" i="6"/>
  <c r="F51" i="6"/>
  <c r="C166" i="10"/>
  <c r="E166" i="10" s="1"/>
  <c r="C126" i="10"/>
  <c r="E126" i="10" s="1"/>
  <c r="C207" i="10"/>
  <c r="E207" i="10" s="1"/>
  <c r="F110" i="6"/>
  <c r="F164" i="6"/>
  <c r="C84" i="10"/>
  <c r="E84" i="10" s="1"/>
  <c r="F117" i="6"/>
  <c r="F123" i="6"/>
  <c r="F131" i="6"/>
  <c r="C110" i="10"/>
  <c r="E110" i="10" s="1"/>
  <c r="C81" i="10"/>
  <c r="E81" i="10" s="1"/>
  <c r="C101" i="10"/>
  <c r="E101" i="10" s="1"/>
  <c r="C141" i="10"/>
  <c r="E141" i="10" s="1"/>
  <c r="F82" i="6"/>
  <c r="C109" i="10"/>
  <c r="E109" i="10" s="1"/>
  <c r="F139" i="6"/>
  <c r="C202" i="10"/>
  <c r="E202" i="10" s="1"/>
  <c r="F133" i="6"/>
  <c r="F132" i="6"/>
  <c r="C142" i="10"/>
  <c r="E142" i="10" s="1"/>
  <c r="C210" i="10"/>
  <c r="E210" i="10" s="1"/>
  <c r="C190" i="10"/>
  <c r="E190" i="10" s="1"/>
  <c r="C49" i="10"/>
  <c r="E49" i="10" s="1"/>
  <c r="G24" i="6"/>
  <c r="F135" i="6"/>
  <c r="C69" i="10"/>
  <c r="E69" i="10" s="1"/>
  <c r="C82" i="10"/>
  <c r="E82" i="10" s="1"/>
  <c r="C170" i="10"/>
  <c r="E170" i="10" s="1"/>
  <c r="C185" i="10"/>
  <c r="E185" i="10" s="1"/>
  <c r="C29" i="10"/>
  <c r="E29" i="10" s="1"/>
  <c r="C102" i="10"/>
  <c r="E102" i="10" s="1"/>
  <c r="C129" i="10"/>
  <c r="E129" i="10" s="1"/>
  <c r="C62" i="10"/>
  <c r="E62" i="10" s="1"/>
  <c r="C150" i="10"/>
  <c r="E150" i="10" s="1"/>
  <c r="C41" i="10"/>
  <c r="E41" i="10" s="1"/>
  <c r="C105" i="10"/>
  <c r="E105" i="10" s="1"/>
  <c r="C25" i="10"/>
  <c r="E25" i="10" s="1"/>
  <c r="C162" i="10"/>
  <c r="E162" i="10" s="1"/>
  <c r="C30" i="10"/>
  <c r="E30" i="10" s="1"/>
  <c r="F137" i="6"/>
  <c r="C65" i="10"/>
  <c r="E65" i="10" s="1"/>
  <c r="C85" i="10"/>
  <c r="E85" i="10" s="1"/>
  <c r="C169" i="10"/>
  <c r="E169" i="10" s="1"/>
  <c r="C89" i="10"/>
  <c r="E89" i="10" s="1"/>
  <c r="F75" i="6"/>
  <c r="C182" i="10"/>
  <c r="E182" i="10" s="1"/>
  <c r="C130" i="10"/>
  <c r="E130" i="10" s="1"/>
  <c r="C50" i="10"/>
  <c r="E50" i="10" s="1"/>
  <c r="E161" i="10"/>
  <c r="C68" i="10"/>
  <c r="E68" i="10" s="1"/>
  <c r="C88" i="10"/>
  <c r="E88" i="10" s="1"/>
  <c r="G81" i="6"/>
  <c r="C148" i="10"/>
  <c r="E148" i="10" s="1"/>
  <c r="G164" i="6"/>
  <c r="G92" i="6"/>
  <c r="C132" i="10"/>
  <c r="E132" i="10" s="1"/>
  <c r="C92" i="10"/>
  <c r="E92" i="10" s="1"/>
  <c r="C171" i="10"/>
  <c r="E171" i="10" s="1"/>
  <c r="C121" i="10"/>
  <c r="E121" i="10" s="1"/>
  <c r="C72" i="10"/>
  <c r="E72" i="10" s="1"/>
  <c r="F54" i="6"/>
  <c r="F21" i="6"/>
  <c r="G52" i="6"/>
  <c r="E125" i="10"/>
  <c r="G148" i="6"/>
  <c r="C208" i="10"/>
  <c r="E208" i="10" s="1"/>
  <c r="J26" i="8"/>
  <c r="K26" i="8" s="1"/>
  <c r="G95" i="6"/>
  <c r="G21" i="6"/>
  <c r="F78" i="6"/>
  <c r="C188" i="10"/>
  <c r="E188" i="10" s="1"/>
  <c r="F74" i="6"/>
  <c r="G108" i="6"/>
  <c r="F18" i="6"/>
  <c r="F83" i="6"/>
  <c r="C51" i="10"/>
  <c r="E51" i="10" s="1"/>
  <c r="F89" i="6"/>
  <c r="C168" i="10"/>
  <c r="E168" i="10" s="1"/>
  <c r="F46" i="6"/>
  <c r="F96" i="6"/>
  <c r="F97" i="6"/>
  <c r="F48" i="6"/>
  <c r="C128" i="10"/>
  <c r="E128" i="10" s="1"/>
  <c r="C98" i="10"/>
  <c r="F88" i="6"/>
  <c r="C158" i="10"/>
  <c r="F76" i="6"/>
  <c r="F80" i="6"/>
  <c r="G36" i="6"/>
  <c r="C212" i="10"/>
  <c r="E212" i="10" s="1"/>
  <c r="C32" i="10"/>
  <c r="E32" i="10" s="1"/>
  <c r="F92" i="6"/>
  <c r="C211" i="10"/>
  <c r="E211" i="10" s="1"/>
  <c r="C181" i="10"/>
  <c r="E181" i="10" s="1"/>
  <c r="C61" i="10"/>
  <c r="E61" i="10" s="1"/>
  <c r="F27" i="6"/>
  <c r="G25" i="6"/>
  <c r="E204" i="10"/>
  <c r="E111" i="10"/>
  <c r="C191" i="10"/>
  <c r="E191" i="10" s="1"/>
  <c r="C28" i="10"/>
  <c r="E28" i="10" s="1"/>
  <c r="G151" i="6"/>
  <c r="C138" i="10"/>
  <c r="F26" i="6"/>
  <c r="G64" i="6"/>
  <c r="C172" i="10"/>
  <c r="E172" i="10" s="1"/>
  <c r="C52" i="10"/>
  <c r="E52" i="10" s="1"/>
  <c r="F91" i="6"/>
  <c r="F55" i="6"/>
  <c r="C21" i="10"/>
  <c r="F50" i="6"/>
  <c r="G22" i="6"/>
  <c r="F49" i="6"/>
  <c r="F47" i="6"/>
  <c r="F20" i="6"/>
  <c r="G50" i="6"/>
  <c r="C201" i="10"/>
  <c r="F52" i="6"/>
  <c r="F22" i="6"/>
  <c r="F65" i="12"/>
  <c r="G26" i="6"/>
  <c r="G119" i="6"/>
  <c r="G68" i="6"/>
  <c r="G37" i="6"/>
  <c r="G47" i="6"/>
  <c r="G117" i="6"/>
  <c r="G103" i="6"/>
  <c r="G91" i="6"/>
  <c r="G54" i="6"/>
  <c r="G163" i="6"/>
  <c r="G51" i="6"/>
  <c r="G75" i="6"/>
  <c r="G19" i="6"/>
  <c r="G82" i="6"/>
  <c r="G74" i="6"/>
  <c r="C78" i="10"/>
  <c r="G96" i="6"/>
  <c r="G149" i="6"/>
  <c r="G135" i="6"/>
  <c r="G93" i="6"/>
  <c r="G121" i="6"/>
  <c r="G136" i="6"/>
  <c r="G46" i="6"/>
  <c r="G158" i="6"/>
  <c r="G48" i="6"/>
  <c r="G110" i="6"/>
  <c r="G107" i="6"/>
  <c r="G79" i="6"/>
  <c r="G63" i="6"/>
  <c r="G166" i="6"/>
  <c r="G65" i="6"/>
  <c r="G60" i="6"/>
  <c r="G116" i="6"/>
  <c r="G133" i="6"/>
  <c r="G138" i="6"/>
  <c r="G27" i="6"/>
  <c r="G97" i="6"/>
  <c r="G125" i="6"/>
  <c r="G55" i="6"/>
  <c r="G66" i="6"/>
  <c r="G130" i="6"/>
  <c r="G144" i="6"/>
  <c r="G160" i="6"/>
  <c r="G146" i="6"/>
  <c r="G150" i="6"/>
  <c r="C118" i="10"/>
  <c r="G40" i="6"/>
  <c r="G49" i="6"/>
  <c r="G77" i="6"/>
  <c r="G105" i="6"/>
  <c r="G94" i="6"/>
  <c r="G134" i="6"/>
  <c r="G152" i="6"/>
  <c r="G89" i="6"/>
  <c r="G131" i="6"/>
  <c r="G83" i="6"/>
  <c r="C38" i="10"/>
  <c r="G120" i="6"/>
  <c r="G109" i="6"/>
  <c r="G38" i="6"/>
  <c r="G32" i="6"/>
  <c r="G90" i="6"/>
  <c r="G132" i="6"/>
  <c r="G35" i="6"/>
  <c r="G161" i="6"/>
  <c r="G165" i="6"/>
  <c r="C178" i="10"/>
  <c r="G78" i="6"/>
  <c r="G145" i="6"/>
  <c r="G159" i="6"/>
  <c r="G33" i="6"/>
  <c r="G162" i="6"/>
  <c r="G67" i="6"/>
  <c r="G18" i="6"/>
  <c r="B33" i="5"/>
  <c r="H40" i="3"/>
  <c r="B54" i="9"/>
  <c r="B25" i="5"/>
  <c r="B83" i="4"/>
  <c r="B483" i="5"/>
  <c r="B217" i="5"/>
  <c r="B41" i="9"/>
  <c r="B221" i="5"/>
  <c r="B266" i="5"/>
  <c r="B316" i="5"/>
  <c r="B193" i="5"/>
  <c r="B154" i="5"/>
  <c r="B81" i="3"/>
  <c r="B27" i="8"/>
  <c r="B391" i="5"/>
  <c r="E40" i="3"/>
  <c r="C77" i="5" s="1"/>
  <c r="B198" i="5"/>
  <c r="E36" i="3"/>
  <c r="C170" i="5" s="1"/>
  <c r="B20" i="15"/>
  <c r="B411" i="5"/>
  <c r="B98" i="5"/>
  <c r="B146" i="3"/>
  <c r="B245" i="5"/>
  <c r="B76" i="3"/>
  <c r="B22" i="8"/>
  <c r="B101" i="5"/>
  <c r="B462" i="5"/>
  <c r="B53" i="9"/>
  <c r="B269" i="5"/>
  <c r="B482" i="5"/>
  <c r="B169" i="5"/>
  <c r="B28" i="4"/>
  <c r="B298" i="5"/>
  <c r="B53" i="5"/>
  <c r="B415" i="5"/>
  <c r="B77" i="3"/>
  <c r="B387" i="5"/>
  <c r="B73" i="5"/>
  <c r="B146" i="5"/>
  <c r="B370" i="5"/>
  <c r="B81" i="5"/>
  <c r="B274" i="5"/>
  <c r="B154" i="3"/>
  <c r="B270" i="5"/>
  <c r="B77" i="5"/>
  <c r="B121" i="4"/>
  <c r="B463" i="5"/>
  <c r="B294" i="5"/>
  <c r="B87" i="4"/>
  <c r="B80" i="5"/>
  <c r="B202" i="5"/>
  <c r="B57" i="4"/>
  <c r="B27" i="9"/>
  <c r="B348" i="5"/>
  <c r="B37" i="9"/>
  <c r="B71" i="4"/>
  <c r="B344" i="5"/>
  <c r="B24" i="4"/>
  <c r="B73" i="3"/>
  <c r="B170" i="5"/>
  <c r="H36" i="3"/>
  <c r="B49" i="4"/>
  <c r="B371" i="5"/>
  <c r="B125" i="5"/>
  <c r="B319" i="5"/>
  <c r="B36" i="9"/>
  <c r="B220" i="5"/>
  <c r="B76" i="5"/>
  <c r="B414" i="5"/>
  <c r="B23" i="15"/>
  <c r="B121" i="5"/>
  <c r="B293" i="5"/>
  <c r="B75" i="4"/>
  <c r="B130" i="5"/>
  <c r="B57" i="5"/>
  <c r="B24" i="15"/>
  <c r="B487" i="5"/>
  <c r="B246" i="5"/>
  <c r="B113" i="4"/>
  <c r="B20" i="4"/>
  <c r="B394" i="5"/>
  <c r="B340" i="5"/>
  <c r="B201" i="5"/>
  <c r="I17" i="15"/>
  <c r="I29" i="15" s="1"/>
  <c r="H29" i="15"/>
  <c r="M17" i="8"/>
  <c r="F39" i="12"/>
  <c r="K16" i="8"/>
  <c r="E267" i="5"/>
  <c r="E271" i="5"/>
  <c r="E273" i="5"/>
  <c r="E136" i="6"/>
  <c r="C310" i="5"/>
  <c r="E52" i="6"/>
  <c r="E80" i="6"/>
  <c r="E64" i="6"/>
  <c r="E50" i="6"/>
  <c r="E22" i="6"/>
  <c r="C97" i="10" s="1"/>
  <c r="E134" i="6"/>
  <c r="E106" i="6"/>
  <c r="D113" i="10"/>
  <c r="F34" i="6"/>
  <c r="F39" i="6"/>
  <c r="F23" i="6"/>
  <c r="E274" i="5"/>
  <c r="C284" i="5"/>
  <c r="J21" i="8"/>
  <c r="K21" i="8" s="1"/>
  <c r="E436" i="5"/>
  <c r="E177" i="5"/>
  <c r="E148" i="5"/>
  <c r="E152" i="5"/>
  <c r="E435" i="5"/>
  <c r="E153" i="5"/>
  <c r="L18" i="8"/>
  <c r="M18" i="8" s="1"/>
  <c r="E272" i="5"/>
  <c r="E164" i="6"/>
  <c r="E120" i="6"/>
  <c r="E148" i="6"/>
  <c r="E94" i="6"/>
  <c r="E77" i="5"/>
  <c r="E89" i="6"/>
  <c r="E75" i="5"/>
  <c r="E99" i="5"/>
  <c r="E104" i="5"/>
  <c r="F21" i="12"/>
  <c r="F26" i="12" s="1"/>
  <c r="F53" i="12"/>
  <c r="F40" i="6"/>
  <c r="F24" i="6"/>
  <c r="F19" i="6"/>
  <c r="G53" i="6"/>
  <c r="F152" i="6"/>
  <c r="J18" i="8"/>
  <c r="K18" i="8" s="1"/>
  <c r="K15" i="9"/>
  <c r="E143" i="5"/>
  <c r="E154" i="5"/>
  <c r="E439" i="5"/>
  <c r="E151" i="5"/>
  <c r="E270" i="5"/>
  <c r="E38" i="6"/>
  <c r="E265" i="5"/>
  <c r="E36" i="6"/>
  <c r="E125" i="6"/>
  <c r="E167" i="6"/>
  <c r="E37" i="6"/>
  <c r="E93" i="6"/>
  <c r="E121" i="6"/>
  <c r="F54" i="12"/>
  <c r="F66" i="12"/>
  <c r="F38" i="6"/>
  <c r="F41" i="6"/>
  <c r="J17" i="8"/>
  <c r="K17" i="8" s="1"/>
  <c r="E146" i="5"/>
  <c r="E150" i="5"/>
  <c r="E268" i="5"/>
  <c r="E126" i="5"/>
  <c r="E264" i="5"/>
  <c r="E122" i="6"/>
  <c r="E269" i="5"/>
  <c r="E78" i="6"/>
  <c r="C211" i="5"/>
  <c r="E166" i="6"/>
  <c r="E138" i="6"/>
  <c r="E26" i="6"/>
  <c r="C177" i="10" s="1"/>
  <c r="E152" i="6"/>
  <c r="E124" i="6"/>
  <c r="E108" i="6"/>
  <c r="E92" i="6"/>
  <c r="F73" i="12"/>
  <c r="F60" i="12"/>
  <c r="B65" i="4"/>
  <c r="B288" i="5"/>
  <c r="B25" i="8"/>
  <c r="B314" i="5"/>
  <c r="B144" i="5"/>
  <c r="B168" i="5"/>
  <c r="B31" i="5"/>
  <c r="B31" i="9"/>
  <c r="B17" i="9"/>
  <c r="B73" i="4"/>
  <c r="B39" i="9"/>
  <c r="C197" i="5"/>
  <c r="C486" i="5"/>
  <c r="C269" i="5"/>
  <c r="C438" i="5"/>
  <c r="C343" i="5"/>
  <c r="C462" i="5"/>
  <c r="C76" i="5"/>
  <c r="C220" i="5"/>
  <c r="B25" i="4"/>
  <c r="B151" i="5"/>
  <c r="C245" i="5"/>
  <c r="C414" i="5"/>
  <c r="C173" i="5"/>
  <c r="C52" i="5"/>
  <c r="B247" i="5"/>
  <c r="C366" i="5"/>
  <c r="G39" i="3"/>
  <c r="I486" i="5" s="1"/>
  <c r="J486" i="5" s="1"/>
  <c r="C293" i="5"/>
  <c r="C319" i="5"/>
  <c r="C390" i="5"/>
  <c r="E36" i="9"/>
  <c r="E53" i="9" s="1"/>
  <c r="C28" i="5"/>
  <c r="C149" i="5"/>
  <c r="B21" i="9"/>
  <c r="B219" i="5"/>
  <c r="B433" i="5"/>
  <c r="B240" i="5"/>
  <c r="E34" i="3"/>
  <c r="B152" i="5"/>
  <c r="B128" i="5"/>
  <c r="B89" i="4"/>
  <c r="B27" i="5"/>
  <c r="B148" i="5"/>
  <c r="B342" i="5"/>
  <c r="B23" i="5"/>
  <c r="B361" i="5"/>
  <c r="B25" i="9"/>
  <c r="B55" i="5"/>
  <c r="B26" i="4"/>
  <c r="B18" i="15"/>
  <c r="B268" i="5"/>
  <c r="B21" i="8"/>
  <c r="B17" i="8"/>
  <c r="B48" i="9"/>
  <c r="B75" i="3"/>
  <c r="B215" i="5"/>
  <c r="B18" i="4"/>
  <c r="B152" i="3"/>
  <c r="B417" i="5"/>
  <c r="B55" i="4"/>
  <c r="B47" i="5"/>
  <c r="B457" i="5"/>
  <c r="B409" i="5"/>
  <c r="B437" i="5"/>
  <c r="B485" i="5"/>
  <c r="B52" i="9"/>
  <c r="B144" i="3"/>
  <c r="B111" i="4"/>
  <c r="B71" i="5"/>
  <c r="B200" i="5"/>
  <c r="E42" i="3"/>
  <c r="C248" i="5" s="1"/>
  <c r="B322" i="5"/>
  <c r="H38" i="3"/>
  <c r="B100" i="5"/>
  <c r="H34" i="3"/>
  <c r="B47" i="4"/>
  <c r="B96" i="5"/>
  <c r="B176" i="5"/>
  <c r="B296" i="5"/>
  <c r="H42" i="3"/>
  <c r="B292" i="5"/>
  <c r="B115" i="4"/>
  <c r="B81" i="4"/>
  <c r="B120" i="5"/>
  <c r="B338" i="5"/>
  <c r="B481" i="5"/>
  <c r="B71" i="3"/>
  <c r="B248" i="5"/>
  <c r="B177" i="5"/>
  <c r="B410" i="5"/>
  <c r="B362" i="5"/>
  <c r="B145" i="3"/>
  <c r="B26" i="8"/>
  <c r="B56" i="5"/>
  <c r="B74" i="4"/>
  <c r="B224" i="5"/>
  <c r="B32" i="5"/>
  <c r="E38" i="3"/>
  <c r="C51" i="5" s="1"/>
  <c r="B112" i="4"/>
  <c r="B265" i="5"/>
  <c r="B97" i="5"/>
  <c r="B249" i="5"/>
  <c r="B56" i="4"/>
  <c r="B22" i="15"/>
  <c r="B172" i="5"/>
  <c r="F97" i="4"/>
  <c r="D32" i="9" s="1"/>
  <c r="D49" i="9" s="1"/>
  <c r="B145" i="5"/>
  <c r="H35" i="3"/>
  <c r="B72" i="3"/>
  <c r="B49" i="9"/>
  <c r="B120" i="4"/>
  <c r="H43" i="3"/>
  <c r="B244" i="5"/>
  <c r="B124" i="5"/>
  <c r="B461" i="5"/>
  <c r="B72" i="5"/>
  <c r="E35" i="3"/>
  <c r="C24" i="5" s="1"/>
  <c r="B48" i="5"/>
  <c r="B315" i="5"/>
  <c r="B418" i="5"/>
  <c r="B80" i="3"/>
  <c r="B27" i="4"/>
  <c r="B129" i="5"/>
  <c r="B35" i="9"/>
  <c r="B216" i="5"/>
  <c r="B339" i="5"/>
  <c r="B32" i="9"/>
  <c r="B24" i="5"/>
  <c r="B153" i="3"/>
  <c r="B105" i="5"/>
  <c r="B27" i="15"/>
  <c r="B57" i="9"/>
  <c r="B51" i="4"/>
  <c r="B66" i="4"/>
  <c r="B18" i="9"/>
  <c r="B386" i="5"/>
  <c r="B241" i="5"/>
  <c r="B82" i="4"/>
  <c r="B26" i="9"/>
  <c r="B323" i="5"/>
  <c r="B118" i="4"/>
  <c r="B38" i="9"/>
  <c r="B345" i="5"/>
  <c r="B456" i="5"/>
  <c r="B191" i="5"/>
  <c r="B408" i="5"/>
  <c r="B24" i="9"/>
  <c r="B110" i="4"/>
  <c r="B47" i="9"/>
  <c r="B78" i="3"/>
  <c r="B55" i="9"/>
  <c r="B151" i="3"/>
  <c r="B88" i="4"/>
  <c r="H41" i="3"/>
  <c r="B103" i="5"/>
  <c r="B432" i="5"/>
  <c r="B64" i="4"/>
  <c r="B67" i="4"/>
  <c r="B16" i="8"/>
  <c r="B16" i="9"/>
  <c r="B464" i="5"/>
  <c r="B271" i="5"/>
  <c r="B24" i="8"/>
  <c r="B488" i="5"/>
  <c r="B263" i="5"/>
  <c r="B95" i="5"/>
  <c r="B214" i="5"/>
  <c r="B337" i="5"/>
  <c r="B46" i="4"/>
  <c r="B243" i="5"/>
  <c r="B78" i="5"/>
  <c r="B25" i="15"/>
  <c r="B54" i="4"/>
  <c r="B167" i="5"/>
  <c r="B384" i="5"/>
  <c r="B239" i="5"/>
  <c r="B17" i="4"/>
  <c r="B321" i="5"/>
  <c r="B392" i="5"/>
  <c r="B70" i="5"/>
  <c r="B143" i="3"/>
  <c r="B313" i="5"/>
  <c r="B440" i="5"/>
  <c r="B54" i="5"/>
  <c r="B222" i="5"/>
  <c r="B295" i="5"/>
  <c r="B46" i="5"/>
  <c r="B143" i="5"/>
  <c r="B360" i="5"/>
  <c r="B80" i="4"/>
  <c r="B30" i="5"/>
  <c r="B127" i="5"/>
  <c r="B175" i="5"/>
  <c r="B70" i="3"/>
  <c r="B287" i="5"/>
  <c r="B416" i="5"/>
  <c r="B30" i="9"/>
  <c r="B22" i="5"/>
  <c r="H33" i="3"/>
  <c r="B79" i="3"/>
  <c r="B465" i="5"/>
  <c r="B79" i="5"/>
  <c r="B26" i="15"/>
  <c r="B413" i="5"/>
  <c r="B22" i="4"/>
  <c r="B192" i="5"/>
  <c r="B385" i="5"/>
  <c r="E44" i="3"/>
  <c r="H44" i="3"/>
  <c r="B91" i="4"/>
  <c r="B199" i="5"/>
  <c r="E41" i="3"/>
  <c r="B72" i="4"/>
  <c r="B147" i="3"/>
  <c r="B150" i="3"/>
  <c r="B117" i="4"/>
  <c r="B435" i="5"/>
  <c r="B242" i="5"/>
  <c r="B50" i="9"/>
  <c r="B28" i="15"/>
  <c r="B52" i="5"/>
  <c r="B173" i="5"/>
  <c r="B116" i="4"/>
  <c r="B22" i="9"/>
  <c r="B18" i="8"/>
  <c r="B19" i="15"/>
  <c r="B74" i="3"/>
  <c r="E37" i="3"/>
  <c r="B442" i="5"/>
  <c r="B250" i="5"/>
  <c r="B23" i="9"/>
  <c r="B33" i="9"/>
  <c r="B153" i="5"/>
  <c r="B40" i="9"/>
  <c r="B490" i="5"/>
  <c r="E43" i="3"/>
  <c r="B318" i="5"/>
  <c r="B365" i="5"/>
  <c r="B389" i="5"/>
  <c r="E33" i="3"/>
  <c r="B17" i="15"/>
  <c r="B223" i="5"/>
  <c r="B441" i="5"/>
  <c r="B119" i="5"/>
  <c r="B369" i="5"/>
  <c r="B56" i="9"/>
  <c r="B489" i="5"/>
  <c r="B104" i="5"/>
  <c r="B272" i="5"/>
  <c r="B346" i="5"/>
  <c r="B393" i="5"/>
  <c r="F74" i="12" l="1"/>
  <c r="E153" i="10"/>
  <c r="E33" i="9"/>
  <c r="E50" i="9" s="1"/>
  <c r="E73" i="10"/>
  <c r="E53" i="10"/>
  <c r="E113" i="10"/>
  <c r="E193" i="10"/>
  <c r="C367" i="5"/>
  <c r="C153" i="10"/>
  <c r="C113" i="10"/>
  <c r="F61" i="12"/>
  <c r="E173" i="10"/>
  <c r="C173" i="10"/>
  <c r="C415" i="5"/>
  <c r="E37" i="9"/>
  <c r="E54" i="9" s="1"/>
  <c r="M28" i="8"/>
  <c r="F46" i="12"/>
  <c r="C51" i="2" s="1"/>
  <c r="E133" i="10"/>
  <c r="E93" i="10"/>
  <c r="C246" i="5"/>
  <c r="C193" i="10"/>
  <c r="C174" i="5"/>
  <c r="E201" i="10"/>
  <c r="E213" i="10" s="1"/>
  <c r="C213" i="10"/>
  <c r="C487" i="5"/>
  <c r="C102" i="5"/>
  <c r="C126" i="5"/>
  <c r="C73" i="10"/>
  <c r="C221" i="5"/>
  <c r="C29" i="5"/>
  <c r="C194" i="5"/>
  <c r="G40" i="3"/>
  <c r="F37" i="9" s="1"/>
  <c r="F54" i="9" s="1"/>
  <c r="C53" i="5"/>
  <c r="C266" i="5"/>
  <c r="C98" i="5"/>
  <c r="C53" i="10"/>
  <c r="C294" i="5"/>
  <c r="C483" i="5"/>
  <c r="C463" i="5"/>
  <c r="C270" i="5"/>
  <c r="C391" i="5"/>
  <c r="C133" i="10"/>
  <c r="C93" i="10"/>
  <c r="G36" i="3"/>
  <c r="I340" i="5" s="1"/>
  <c r="J340" i="5" s="1"/>
  <c r="C198" i="5"/>
  <c r="C320" i="5"/>
  <c r="C344" i="5"/>
  <c r="C439" i="5"/>
  <c r="C316" i="5"/>
  <c r="C150" i="5"/>
  <c r="E21" i="10"/>
  <c r="E33" i="10" s="1"/>
  <c r="C33" i="10"/>
  <c r="I76" i="5"/>
  <c r="J76" i="5" s="1"/>
  <c r="I293" i="5"/>
  <c r="J293" i="5" s="1"/>
  <c r="C413" i="5"/>
  <c r="C459" i="5"/>
  <c r="C290" i="5"/>
  <c r="C25" i="5"/>
  <c r="C363" i="5"/>
  <c r="C411" i="5"/>
  <c r="C340" i="5"/>
  <c r="C217" i="5"/>
  <c r="C49" i="5"/>
  <c r="C387" i="5"/>
  <c r="C73" i="5"/>
  <c r="C242" i="5"/>
  <c r="C146" i="5"/>
  <c r="C122" i="5"/>
  <c r="C435" i="5"/>
  <c r="D19" i="9"/>
  <c r="C315" i="5"/>
  <c r="I197" i="5"/>
  <c r="J197" i="5" s="1"/>
  <c r="F36" i="9"/>
  <c r="F53" i="9" s="1"/>
  <c r="D39" i="9"/>
  <c r="D56" i="9" s="1"/>
  <c r="E216" i="5"/>
  <c r="E218" i="5"/>
  <c r="E217" i="5"/>
  <c r="E219" i="5"/>
  <c r="C236" i="5"/>
  <c r="E224" i="5"/>
  <c r="E214" i="5"/>
  <c r="E220" i="5"/>
  <c r="E215" i="5"/>
  <c r="E222" i="5"/>
  <c r="E225" i="5"/>
  <c r="E223" i="5"/>
  <c r="E221" i="5"/>
  <c r="K28" i="8"/>
  <c r="L28" i="8"/>
  <c r="C59" i="2"/>
  <c r="C21" i="11"/>
  <c r="E323" i="5"/>
  <c r="E320" i="5"/>
  <c r="E319" i="5"/>
  <c r="E322" i="5"/>
  <c r="E315" i="5"/>
  <c r="E317" i="5"/>
  <c r="E324" i="5"/>
  <c r="E318" i="5"/>
  <c r="E316" i="5"/>
  <c r="E321" i="5"/>
  <c r="C334" i="5"/>
  <c r="E313" i="5"/>
  <c r="E314" i="5"/>
  <c r="J28" i="8"/>
  <c r="C16" i="11" s="1"/>
  <c r="C55" i="2" s="1"/>
  <c r="C60" i="2"/>
  <c r="C22" i="11"/>
  <c r="C410" i="5"/>
  <c r="E290" i="5"/>
  <c r="E297" i="5"/>
  <c r="E296" i="5"/>
  <c r="E289" i="5"/>
  <c r="E298" i="5"/>
  <c r="E288" i="5"/>
  <c r="E294" i="5"/>
  <c r="E293" i="5"/>
  <c r="E295" i="5"/>
  <c r="E292" i="5"/>
  <c r="E291" i="5"/>
  <c r="E287" i="5"/>
  <c r="D36" i="9"/>
  <c r="D53" i="9" s="1"/>
  <c r="I414" i="5"/>
  <c r="J414" i="5" s="1"/>
  <c r="D34" i="9"/>
  <c r="D51" i="9" s="1"/>
  <c r="I220" i="5"/>
  <c r="J220" i="5" s="1"/>
  <c r="C100" i="5"/>
  <c r="I125" i="5"/>
  <c r="J125" i="5" s="1"/>
  <c r="D33" i="9"/>
  <c r="D50" i="9" s="1"/>
  <c r="I28" i="5"/>
  <c r="J28" i="5" s="1"/>
  <c r="I173" i="5"/>
  <c r="J173" i="5" s="1"/>
  <c r="I343" i="5"/>
  <c r="J343" i="5" s="1"/>
  <c r="I319" i="5"/>
  <c r="J319" i="5" s="1"/>
  <c r="C265" i="5"/>
  <c r="I366" i="5"/>
  <c r="J366" i="5" s="1"/>
  <c r="G19" i="9"/>
  <c r="I52" i="5"/>
  <c r="J52" i="5" s="1"/>
  <c r="I245" i="5"/>
  <c r="J245" i="5" s="1"/>
  <c r="I390" i="5"/>
  <c r="J390" i="5" s="1"/>
  <c r="I462" i="5"/>
  <c r="J462" i="5" s="1"/>
  <c r="I269" i="5"/>
  <c r="J269" i="5" s="1"/>
  <c r="D41" i="9"/>
  <c r="D38" i="9"/>
  <c r="D55" i="9" s="1"/>
  <c r="I149" i="5"/>
  <c r="J149" i="5" s="1"/>
  <c r="D40" i="9"/>
  <c r="D57" i="9" s="1"/>
  <c r="D31" i="9"/>
  <c r="D48" i="9" s="1"/>
  <c r="D35" i="9"/>
  <c r="D52" i="9" s="1"/>
  <c r="I101" i="5"/>
  <c r="J101" i="5" s="1"/>
  <c r="I438" i="5"/>
  <c r="J438" i="5" s="1"/>
  <c r="D37" i="9"/>
  <c r="D54" i="9" s="1"/>
  <c r="D30" i="9"/>
  <c r="D47" i="9" s="1"/>
  <c r="H19" i="9"/>
  <c r="C200" i="5"/>
  <c r="I19" i="9"/>
  <c r="F19" i="9"/>
  <c r="C385" i="5"/>
  <c r="C338" i="5"/>
  <c r="C120" i="5"/>
  <c r="C481" i="5"/>
  <c r="C192" i="5"/>
  <c r="C457" i="5"/>
  <c r="C240" i="5"/>
  <c r="E31" i="9"/>
  <c r="E48" i="9" s="1"/>
  <c r="C361" i="5"/>
  <c r="C144" i="5"/>
  <c r="C264" i="5"/>
  <c r="G34" i="3"/>
  <c r="C288" i="5"/>
  <c r="C96" i="5"/>
  <c r="C168" i="5"/>
  <c r="C71" i="5"/>
  <c r="C433" i="5"/>
  <c r="C23" i="5"/>
  <c r="C409" i="5"/>
  <c r="C47" i="5"/>
  <c r="C314" i="5"/>
  <c r="C215" i="5"/>
  <c r="D25" i="9"/>
  <c r="K19" i="9"/>
  <c r="C19" i="9"/>
  <c r="E19" i="9"/>
  <c r="L19" i="9"/>
  <c r="C104" i="5"/>
  <c r="C223" i="5"/>
  <c r="G42" i="3"/>
  <c r="C489" i="5"/>
  <c r="C31" i="5"/>
  <c r="C296" i="5"/>
  <c r="C369" i="5"/>
  <c r="E39" i="9"/>
  <c r="E56" i="9" s="1"/>
  <c r="C152" i="5"/>
  <c r="C346" i="5"/>
  <c r="C79" i="5"/>
  <c r="C465" i="5"/>
  <c r="C441" i="5"/>
  <c r="C55" i="5"/>
  <c r="C393" i="5"/>
  <c r="C322" i="5"/>
  <c r="C176" i="5"/>
  <c r="C417" i="5"/>
  <c r="C272" i="5"/>
  <c r="C128" i="5"/>
  <c r="G35" i="3"/>
  <c r="C241" i="5"/>
  <c r="C48" i="5"/>
  <c r="C386" i="5"/>
  <c r="C72" i="5"/>
  <c r="C362" i="5"/>
  <c r="C193" i="5"/>
  <c r="C145" i="5"/>
  <c r="C97" i="5"/>
  <c r="C121" i="5"/>
  <c r="C458" i="5"/>
  <c r="C216" i="5"/>
  <c r="E32" i="9"/>
  <c r="E49" i="9" s="1"/>
  <c r="C482" i="5"/>
  <c r="C169" i="5"/>
  <c r="C434" i="5"/>
  <c r="C289" i="5"/>
  <c r="C339" i="5"/>
  <c r="C172" i="5"/>
  <c r="C389" i="5"/>
  <c r="C124" i="5"/>
  <c r="C268" i="5"/>
  <c r="C485" i="5"/>
  <c r="C292" i="5"/>
  <c r="C365" i="5"/>
  <c r="C318" i="5"/>
  <c r="C75" i="5"/>
  <c r="C342" i="5"/>
  <c r="E35" i="9"/>
  <c r="E52" i="9" s="1"/>
  <c r="C196" i="5"/>
  <c r="C437" i="5"/>
  <c r="C244" i="5"/>
  <c r="C148" i="5"/>
  <c r="G38" i="3"/>
  <c r="C27" i="5"/>
  <c r="C461" i="5"/>
  <c r="C219" i="5"/>
  <c r="J16" i="9"/>
  <c r="I16" i="9"/>
  <c r="E16" i="9"/>
  <c r="H16" i="9"/>
  <c r="L16" i="9"/>
  <c r="C16" i="9"/>
  <c r="D16" i="9"/>
  <c r="G16" i="9"/>
  <c r="K16" i="9"/>
  <c r="F16" i="9"/>
  <c r="F21" i="9"/>
  <c r="I17" i="9"/>
  <c r="E18" i="9"/>
  <c r="D17" i="9"/>
  <c r="G17" i="9"/>
  <c r="I18" i="9"/>
  <c r="E17" i="9"/>
  <c r="C18" i="9"/>
  <c r="H18" i="9"/>
  <c r="G18" i="9"/>
  <c r="F17" i="9"/>
  <c r="F18" i="9"/>
  <c r="J19" i="9"/>
  <c r="H17" i="9"/>
  <c r="L18" i="9"/>
  <c r="J17" i="9"/>
  <c r="K17" i="9"/>
  <c r="D18" i="9"/>
  <c r="C17" i="9"/>
  <c r="L17" i="9"/>
  <c r="J18" i="9"/>
  <c r="K18" i="9"/>
  <c r="E23" i="9"/>
  <c r="F23" i="9"/>
  <c r="I23" i="9"/>
  <c r="K23" i="9"/>
  <c r="H23" i="9"/>
  <c r="C23" i="9"/>
  <c r="D23" i="9"/>
  <c r="L23" i="9"/>
  <c r="J23" i="9"/>
  <c r="G23" i="9"/>
  <c r="E40" i="9"/>
  <c r="E57" i="9" s="1"/>
  <c r="C153" i="5"/>
  <c r="C442" i="5"/>
  <c r="C273" i="5"/>
  <c r="C323" i="5"/>
  <c r="C80" i="5"/>
  <c r="C177" i="5"/>
  <c r="C105" i="5"/>
  <c r="G43" i="3"/>
  <c r="C418" i="5"/>
  <c r="C129" i="5"/>
  <c r="C224" i="5"/>
  <c r="C297" i="5"/>
  <c r="C249" i="5"/>
  <c r="C201" i="5"/>
  <c r="C394" i="5"/>
  <c r="C56" i="5"/>
  <c r="C32" i="5"/>
  <c r="C466" i="5"/>
  <c r="C347" i="5"/>
  <c r="C370" i="5"/>
  <c r="C490" i="5"/>
  <c r="C392" i="5"/>
  <c r="C464" i="5"/>
  <c r="C295" i="5"/>
  <c r="C151" i="5"/>
  <c r="C199" i="5"/>
  <c r="C368" i="5"/>
  <c r="C78" i="5"/>
  <c r="C30" i="5"/>
  <c r="C222" i="5"/>
  <c r="C175" i="5"/>
  <c r="C271" i="5"/>
  <c r="C345" i="5"/>
  <c r="C321" i="5"/>
  <c r="C127" i="5"/>
  <c r="C488" i="5"/>
  <c r="C54" i="5"/>
  <c r="C103" i="5"/>
  <c r="C416" i="5"/>
  <c r="C440" i="5"/>
  <c r="E38" i="9"/>
  <c r="E55" i="9" s="1"/>
  <c r="G41" i="3"/>
  <c r="C247" i="5"/>
  <c r="C291" i="5"/>
  <c r="C50" i="5"/>
  <c r="C484" i="5"/>
  <c r="E34" i="9"/>
  <c r="E51" i="9" s="1"/>
  <c r="C195" i="5"/>
  <c r="C317" i="5"/>
  <c r="C364" i="5"/>
  <c r="C171" i="5"/>
  <c r="C436" i="5"/>
  <c r="C99" i="5"/>
  <c r="C218" i="5"/>
  <c r="C388" i="5"/>
  <c r="C243" i="5"/>
  <c r="C412" i="5"/>
  <c r="C267" i="5"/>
  <c r="C26" i="5"/>
  <c r="G37" i="3"/>
  <c r="C460" i="5"/>
  <c r="C147" i="5"/>
  <c r="C74" i="5"/>
  <c r="C341" i="5"/>
  <c r="C123" i="5"/>
  <c r="I20" i="9"/>
  <c r="H27" i="9"/>
  <c r="L20" i="9"/>
  <c r="J26" i="9"/>
  <c r="I27" i="9"/>
  <c r="E24" i="9"/>
  <c r="H25" i="9"/>
  <c r="K24" i="9"/>
  <c r="D27" i="9"/>
  <c r="E20" i="9"/>
  <c r="H24" i="9"/>
  <c r="L25" i="9"/>
  <c r="L27" i="9"/>
  <c r="F27" i="9"/>
  <c r="F24" i="9"/>
  <c r="C20" i="9"/>
  <c r="C26" i="9"/>
  <c r="K20" i="9"/>
  <c r="G20" i="9"/>
  <c r="D24" i="9"/>
  <c r="D26" i="9"/>
  <c r="J25" i="9"/>
  <c r="H26" i="9"/>
  <c r="L26" i="9"/>
  <c r="J20" i="9"/>
  <c r="D21" i="9"/>
  <c r="I25" i="9"/>
  <c r="K21" i="9"/>
  <c r="L21" i="9"/>
  <c r="G24" i="9"/>
  <c r="J24" i="9"/>
  <c r="D20" i="9"/>
  <c r="G27" i="9"/>
  <c r="E26" i="9"/>
  <c r="G26" i="9"/>
  <c r="G21" i="9"/>
  <c r="F25" i="9"/>
  <c r="I24" i="9"/>
  <c r="E21" i="9"/>
  <c r="I21" i="9"/>
  <c r="E25" i="9"/>
  <c r="H20" i="9"/>
  <c r="K25" i="9"/>
  <c r="C24" i="9"/>
  <c r="I26" i="9"/>
  <c r="K27" i="9"/>
  <c r="F20" i="9"/>
  <c r="J21" i="9"/>
  <c r="J27" i="9"/>
  <c r="L24" i="9"/>
  <c r="C25" i="9"/>
  <c r="K26" i="9"/>
  <c r="E27" i="9"/>
  <c r="F26" i="9"/>
  <c r="C27" i="9"/>
  <c r="G25" i="9"/>
  <c r="H21" i="9"/>
  <c r="C22" i="5"/>
  <c r="F22" i="5" s="1"/>
  <c r="C191" i="5"/>
  <c r="F191" i="5" s="1"/>
  <c r="C119" i="5"/>
  <c r="F119" i="5" s="1"/>
  <c r="C384" i="5"/>
  <c r="F384" i="5" s="1"/>
  <c r="C263" i="5"/>
  <c r="F263" i="5" s="1"/>
  <c r="C480" i="5"/>
  <c r="F480" i="5" s="1"/>
  <c r="C214" i="5"/>
  <c r="F214" i="5" s="1"/>
  <c r="C287" i="5"/>
  <c r="F287" i="5" s="1"/>
  <c r="C143" i="5"/>
  <c r="F143" i="5" s="1"/>
  <c r="G33" i="3"/>
  <c r="C432" i="5"/>
  <c r="F432" i="5" s="1"/>
  <c r="C313" i="5"/>
  <c r="F313" i="5" s="1"/>
  <c r="C360" i="5"/>
  <c r="F360" i="5" s="1"/>
  <c r="C456" i="5"/>
  <c r="F456" i="5" s="1"/>
  <c r="C46" i="5"/>
  <c r="F46" i="5" s="1"/>
  <c r="C239" i="5"/>
  <c r="C337" i="5"/>
  <c r="C70" i="5"/>
  <c r="F70" i="5" s="1"/>
  <c r="E30" i="9"/>
  <c r="E47" i="9" s="1"/>
  <c r="C167" i="5"/>
  <c r="F167" i="5" s="1"/>
  <c r="C408" i="5"/>
  <c r="F408" i="5" s="1"/>
  <c r="C95" i="5"/>
  <c r="F95" i="5" s="1"/>
  <c r="D22" i="9"/>
  <c r="I22" i="9"/>
  <c r="C22" i="9"/>
  <c r="H22" i="9"/>
  <c r="L22" i="9"/>
  <c r="E22" i="9"/>
  <c r="F22" i="9"/>
  <c r="K22" i="9"/>
  <c r="G22" i="9"/>
  <c r="J22" i="9"/>
  <c r="C491" i="5"/>
  <c r="C81" i="5"/>
  <c r="C395" i="5"/>
  <c r="C443" i="5"/>
  <c r="C348" i="5"/>
  <c r="C202" i="5"/>
  <c r="C298" i="5"/>
  <c r="G44" i="3"/>
  <c r="C178" i="5"/>
  <c r="C57" i="5"/>
  <c r="C324" i="5"/>
  <c r="C130" i="5"/>
  <c r="C274" i="5"/>
  <c r="C371" i="5"/>
  <c r="C225" i="5"/>
  <c r="C33" i="5"/>
  <c r="C250" i="5"/>
  <c r="C419" i="5"/>
  <c r="C467" i="5"/>
  <c r="C154" i="5"/>
  <c r="C106" i="5"/>
  <c r="E41" i="9"/>
  <c r="C21" i="9"/>
  <c r="F82" i="12" l="1"/>
  <c r="C75" i="2" s="1"/>
  <c r="C80" i="2" s="1"/>
  <c r="C86" i="2" s="1"/>
  <c r="I391" i="5"/>
  <c r="J391" i="5" s="1"/>
  <c r="I126" i="5"/>
  <c r="J126" i="5" s="1"/>
  <c r="I102" i="5"/>
  <c r="J102" i="5" s="1"/>
  <c r="I411" i="5"/>
  <c r="J411" i="5" s="1"/>
  <c r="I98" i="5"/>
  <c r="J98" i="5" s="1"/>
  <c r="I483" i="5"/>
  <c r="J483" i="5" s="1"/>
  <c r="I363" i="5"/>
  <c r="J363" i="5" s="1"/>
  <c r="I266" i="5"/>
  <c r="J266" i="5" s="1"/>
  <c r="I194" i="5"/>
  <c r="J194" i="5" s="1"/>
  <c r="F33" i="9"/>
  <c r="F50" i="9" s="1"/>
  <c r="I77" i="5"/>
  <c r="J77" i="5" s="1"/>
  <c r="I415" i="5"/>
  <c r="J415" i="5" s="1"/>
  <c r="I344" i="5"/>
  <c r="J344" i="5" s="1"/>
  <c r="I367" i="5"/>
  <c r="J367" i="5" s="1"/>
  <c r="I270" i="5"/>
  <c r="J270" i="5" s="1"/>
  <c r="I150" i="5"/>
  <c r="J150" i="5" s="1"/>
  <c r="I294" i="5"/>
  <c r="J294" i="5" s="1"/>
  <c r="I29" i="5"/>
  <c r="J29" i="5" s="1"/>
  <c r="I242" i="5"/>
  <c r="J242" i="5" s="1"/>
  <c r="I387" i="5"/>
  <c r="J387" i="5" s="1"/>
  <c r="I170" i="5"/>
  <c r="J170" i="5" s="1"/>
  <c r="I73" i="5"/>
  <c r="J73" i="5" s="1"/>
  <c r="I290" i="5"/>
  <c r="J290" i="5" s="1"/>
  <c r="I25" i="5"/>
  <c r="J25" i="5" s="1"/>
  <c r="I122" i="5"/>
  <c r="J122" i="5" s="1"/>
  <c r="I435" i="5"/>
  <c r="J435" i="5" s="1"/>
  <c r="I49" i="5"/>
  <c r="J49" i="5" s="1"/>
  <c r="I459" i="5"/>
  <c r="J459" i="5" s="1"/>
  <c r="I217" i="5"/>
  <c r="J217" i="5" s="1"/>
  <c r="I146" i="5"/>
  <c r="J146" i="5" s="1"/>
  <c r="I174" i="5"/>
  <c r="J174" i="5" s="1"/>
  <c r="I320" i="5"/>
  <c r="J320" i="5" s="1"/>
  <c r="I221" i="5"/>
  <c r="J221" i="5" s="1"/>
  <c r="I439" i="5"/>
  <c r="J439" i="5" s="1"/>
  <c r="I463" i="5"/>
  <c r="J463" i="5" s="1"/>
  <c r="I246" i="5"/>
  <c r="J246" i="5" s="1"/>
  <c r="I198" i="5"/>
  <c r="J198" i="5" s="1"/>
  <c r="I487" i="5"/>
  <c r="J487" i="5" s="1"/>
  <c r="I53" i="5"/>
  <c r="J53" i="5" s="1"/>
  <c r="I316" i="5"/>
  <c r="J316" i="5" s="1"/>
  <c r="E248" i="5"/>
  <c r="E242" i="5"/>
  <c r="E241" i="5"/>
  <c r="E249" i="5"/>
  <c r="E240" i="5"/>
  <c r="E239" i="5"/>
  <c r="F239" i="5" s="1"/>
  <c r="H239" i="5" s="1"/>
  <c r="G240" i="5" s="1"/>
  <c r="F240" i="5" s="1"/>
  <c r="E247" i="5"/>
  <c r="E250" i="5"/>
  <c r="E245" i="5"/>
  <c r="E246" i="5"/>
  <c r="E243" i="5"/>
  <c r="E244" i="5"/>
  <c r="E337" i="5"/>
  <c r="E339" i="5"/>
  <c r="E346" i="5"/>
  <c r="E340" i="5"/>
  <c r="E338" i="5"/>
  <c r="E344" i="5"/>
  <c r="E341" i="5"/>
  <c r="E342" i="5"/>
  <c r="E343" i="5"/>
  <c r="E348" i="5"/>
  <c r="E347" i="5"/>
  <c r="E345" i="5"/>
  <c r="F337" i="5"/>
  <c r="H337" i="5" s="1"/>
  <c r="G338" i="5" s="1"/>
  <c r="F338" i="5" s="1"/>
  <c r="H338" i="5" s="1"/>
  <c r="G339" i="5" s="1"/>
  <c r="F339" i="5" s="1"/>
  <c r="C56" i="2"/>
  <c r="C17" i="11"/>
  <c r="M19" i="9"/>
  <c r="C33" i="9" s="1"/>
  <c r="I215" i="5"/>
  <c r="J215" i="5" s="1"/>
  <c r="I144" i="5"/>
  <c r="J144" i="5" s="1"/>
  <c r="I288" i="5"/>
  <c r="J288" i="5" s="1"/>
  <c r="I457" i="5"/>
  <c r="J457" i="5" s="1"/>
  <c r="I192" i="5"/>
  <c r="J192" i="5" s="1"/>
  <c r="I338" i="5"/>
  <c r="J338" i="5" s="1"/>
  <c r="I409" i="5"/>
  <c r="J409" i="5" s="1"/>
  <c r="I168" i="5"/>
  <c r="J168" i="5" s="1"/>
  <c r="I120" i="5"/>
  <c r="J120" i="5" s="1"/>
  <c r="I264" i="5"/>
  <c r="J264" i="5" s="1"/>
  <c r="I385" i="5"/>
  <c r="J385" i="5" s="1"/>
  <c r="F31" i="9"/>
  <c r="F48" i="9" s="1"/>
  <c r="I433" i="5"/>
  <c r="J433" i="5" s="1"/>
  <c r="I481" i="5"/>
  <c r="J481" i="5" s="1"/>
  <c r="I71" i="5"/>
  <c r="J71" i="5" s="1"/>
  <c r="I47" i="5"/>
  <c r="J47" i="5" s="1"/>
  <c r="I314" i="5"/>
  <c r="J314" i="5" s="1"/>
  <c r="I23" i="5"/>
  <c r="J23" i="5" s="1"/>
  <c r="I240" i="5"/>
  <c r="J240" i="5" s="1"/>
  <c r="I96" i="5"/>
  <c r="J96" i="5" s="1"/>
  <c r="I361" i="5"/>
  <c r="J361" i="5" s="1"/>
  <c r="I152" i="5"/>
  <c r="J152" i="5" s="1"/>
  <c r="I128" i="5"/>
  <c r="J128" i="5" s="1"/>
  <c r="I31" i="5"/>
  <c r="J31" i="5" s="1"/>
  <c r="I417" i="5"/>
  <c r="J417" i="5" s="1"/>
  <c r="I322" i="5"/>
  <c r="J322" i="5" s="1"/>
  <c r="I369" i="5"/>
  <c r="J369" i="5" s="1"/>
  <c r="I346" i="5"/>
  <c r="J346" i="5" s="1"/>
  <c r="I223" i="5"/>
  <c r="J223" i="5" s="1"/>
  <c r="I248" i="5"/>
  <c r="J248" i="5" s="1"/>
  <c r="I200" i="5"/>
  <c r="J200" i="5" s="1"/>
  <c r="I393" i="5"/>
  <c r="J393" i="5" s="1"/>
  <c r="I104" i="5"/>
  <c r="J104" i="5" s="1"/>
  <c r="I296" i="5"/>
  <c r="J296" i="5" s="1"/>
  <c r="I441" i="5"/>
  <c r="J441" i="5" s="1"/>
  <c r="I272" i="5"/>
  <c r="J272" i="5" s="1"/>
  <c r="I176" i="5"/>
  <c r="J176" i="5" s="1"/>
  <c r="I489" i="5"/>
  <c r="J489" i="5" s="1"/>
  <c r="I79" i="5"/>
  <c r="J79" i="5" s="1"/>
  <c r="F39" i="9"/>
  <c r="F56" i="9" s="1"/>
  <c r="I55" i="5"/>
  <c r="J55" i="5" s="1"/>
  <c r="I465" i="5"/>
  <c r="J465" i="5" s="1"/>
  <c r="M22" i="9"/>
  <c r="C36" i="9" s="1"/>
  <c r="C53" i="9" s="1"/>
  <c r="I53" i="9" s="1"/>
  <c r="I437" i="5"/>
  <c r="J437" i="5" s="1"/>
  <c r="I196" i="5"/>
  <c r="J196" i="5" s="1"/>
  <c r="I75" i="5"/>
  <c r="J75" i="5" s="1"/>
  <c r="I413" i="5"/>
  <c r="J413" i="5" s="1"/>
  <c r="I389" i="5"/>
  <c r="J389" i="5" s="1"/>
  <c r="I342" i="5"/>
  <c r="J342" i="5" s="1"/>
  <c r="I268" i="5"/>
  <c r="J268" i="5" s="1"/>
  <c r="I219" i="5"/>
  <c r="J219" i="5" s="1"/>
  <c r="F35" i="9"/>
  <c r="F52" i="9" s="1"/>
  <c r="I124" i="5"/>
  <c r="J124" i="5" s="1"/>
  <c r="I172" i="5"/>
  <c r="J172" i="5" s="1"/>
  <c r="I318" i="5"/>
  <c r="J318" i="5" s="1"/>
  <c r="I27" i="5"/>
  <c r="J27" i="5" s="1"/>
  <c r="I148" i="5"/>
  <c r="J148" i="5" s="1"/>
  <c r="I51" i="5"/>
  <c r="J51" i="5" s="1"/>
  <c r="I461" i="5"/>
  <c r="J461" i="5" s="1"/>
  <c r="I244" i="5"/>
  <c r="J244" i="5" s="1"/>
  <c r="I292" i="5"/>
  <c r="J292" i="5" s="1"/>
  <c r="I365" i="5"/>
  <c r="J365" i="5" s="1"/>
  <c r="I485" i="5"/>
  <c r="J485" i="5" s="1"/>
  <c r="I100" i="5"/>
  <c r="J100" i="5" s="1"/>
  <c r="I216" i="5"/>
  <c r="J216" i="5" s="1"/>
  <c r="I97" i="5"/>
  <c r="J97" i="5" s="1"/>
  <c r="I434" i="5"/>
  <c r="J434" i="5" s="1"/>
  <c r="I48" i="5"/>
  <c r="J48" i="5" s="1"/>
  <c r="I72" i="5"/>
  <c r="J72" i="5" s="1"/>
  <c r="I289" i="5"/>
  <c r="J289" i="5" s="1"/>
  <c r="I169" i="5"/>
  <c r="J169" i="5" s="1"/>
  <c r="I482" i="5"/>
  <c r="J482" i="5" s="1"/>
  <c r="I410" i="5"/>
  <c r="J410" i="5" s="1"/>
  <c r="I362" i="5"/>
  <c r="J362" i="5" s="1"/>
  <c r="I145" i="5"/>
  <c r="J145" i="5" s="1"/>
  <c r="I386" i="5"/>
  <c r="J386" i="5" s="1"/>
  <c r="I24" i="5"/>
  <c r="J24" i="5" s="1"/>
  <c r="I265" i="5"/>
  <c r="J265" i="5" s="1"/>
  <c r="I458" i="5"/>
  <c r="J458" i="5" s="1"/>
  <c r="I241" i="5"/>
  <c r="J241" i="5" s="1"/>
  <c r="I315" i="5"/>
  <c r="J315" i="5" s="1"/>
  <c r="I339" i="5"/>
  <c r="J339" i="5" s="1"/>
  <c r="F32" i="9"/>
  <c r="F49" i="9" s="1"/>
  <c r="I193" i="5"/>
  <c r="J193" i="5" s="1"/>
  <c r="I121" i="5"/>
  <c r="J121" i="5" s="1"/>
  <c r="M23" i="9"/>
  <c r="C37" i="9" s="1"/>
  <c r="C54" i="9" s="1"/>
  <c r="I54" i="9" s="1"/>
  <c r="M16" i="9"/>
  <c r="C30" i="9" s="1"/>
  <c r="C47" i="9" s="1"/>
  <c r="M17" i="9"/>
  <c r="C31" i="9" s="1"/>
  <c r="M20" i="9"/>
  <c r="C34" i="9" s="1"/>
  <c r="C51" i="9" s="1"/>
  <c r="M27" i="9"/>
  <c r="C41" i="9" s="1"/>
  <c r="M18" i="9"/>
  <c r="C32" i="9" s="1"/>
  <c r="H143" i="5"/>
  <c r="G144" i="5" s="1"/>
  <c r="F144" i="5" s="1"/>
  <c r="H144" i="5" s="1"/>
  <c r="G145" i="5" s="1"/>
  <c r="F145" i="5" s="1"/>
  <c r="M21" i="9"/>
  <c r="C35" i="9" s="1"/>
  <c r="I129" i="5"/>
  <c r="J129" i="5" s="1"/>
  <c r="I347" i="5"/>
  <c r="J347" i="5" s="1"/>
  <c r="I323" i="5"/>
  <c r="J323" i="5" s="1"/>
  <c r="I249" i="5"/>
  <c r="J249" i="5" s="1"/>
  <c r="I177" i="5"/>
  <c r="J177" i="5" s="1"/>
  <c r="I418" i="5"/>
  <c r="J418" i="5" s="1"/>
  <c r="I32" i="5"/>
  <c r="J32" i="5" s="1"/>
  <c r="I490" i="5"/>
  <c r="J490" i="5" s="1"/>
  <c r="I80" i="5"/>
  <c r="J80" i="5" s="1"/>
  <c r="I273" i="5"/>
  <c r="J273" i="5" s="1"/>
  <c r="I105" i="5"/>
  <c r="J105" i="5" s="1"/>
  <c r="I466" i="5"/>
  <c r="J466" i="5" s="1"/>
  <c r="I370" i="5"/>
  <c r="J370" i="5" s="1"/>
  <c r="I297" i="5"/>
  <c r="J297" i="5" s="1"/>
  <c r="I153" i="5"/>
  <c r="J153" i="5" s="1"/>
  <c r="I394" i="5"/>
  <c r="J394" i="5" s="1"/>
  <c r="I201" i="5"/>
  <c r="J201" i="5" s="1"/>
  <c r="F40" i="9"/>
  <c r="F57" i="9" s="1"/>
  <c r="I56" i="5"/>
  <c r="J56" i="5" s="1"/>
  <c r="I224" i="5"/>
  <c r="J224" i="5" s="1"/>
  <c r="I442" i="5"/>
  <c r="J442" i="5" s="1"/>
  <c r="H287" i="5"/>
  <c r="G288" i="5" s="1"/>
  <c r="F288" i="5" s="1"/>
  <c r="H46" i="5"/>
  <c r="G47" i="5" s="1"/>
  <c r="F47" i="5" s="1"/>
  <c r="H95" i="5"/>
  <c r="G96" i="5" s="1"/>
  <c r="F96" i="5" s="1"/>
  <c r="H96" i="5" s="1"/>
  <c r="G97" i="5" s="1"/>
  <c r="F97" i="5" s="1"/>
  <c r="H97" i="5" s="1"/>
  <c r="G98" i="5" s="1"/>
  <c r="F98" i="5" s="1"/>
  <c r="H98" i="5" s="1"/>
  <c r="H456" i="5"/>
  <c r="G457" i="5" s="1"/>
  <c r="F457" i="5" s="1"/>
  <c r="H480" i="5"/>
  <c r="G481" i="5" s="1"/>
  <c r="F481" i="5" s="1"/>
  <c r="H22" i="5"/>
  <c r="G23" i="5" s="1"/>
  <c r="F23" i="5" s="1"/>
  <c r="H214" i="5"/>
  <c r="G215" i="5" s="1"/>
  <c r="F215" i="5" s="1"/>
  <c r="H215" i="5" s="1"/>
  <c r="G216" i="5" s="1"/>
  <c r="F216" i="5" s="1"/>
  <c r="H408" i="5"/>
  <c r="G409" i="5" s="1"/>
  <c r="F409" i="5" s="1"/>
  <c r="H360" i="5"/>
  <c r="G361" i="5" s="1"/>
  <c r="F361" i="5" s="1"/>
  <c r="H263" i="5"/>
  <c r="G264" i="5" s="1"/>
  <c r="F264" i="5" s="1"/>
  <c r="M24" i="9"/>
  <c r="C38" i="9" s="1"/>
  <c r="H167" i="5"/>
  <c r="G168" i="5" s="1"/>
  <c r="F168" i="5" s="1"/>
  <c r="H313" i="5"/>
  <c r="G314" i="5" s="1"/>
  <c r="F314" i="5" s="1"/>
  <c r="H384" i="5"/>
  <c r="G385" i="5" s="1"/>
  <c r="F385" i="5" s="1"/>
  <c r="H385" i="5" s="1"/>
  <c r="G386" i="5" s="1"/>
  <c r="F386" i="5" s="1"/>
  <c r="M25" i="9"/>
  <c r="C39" i="9" s="1"/>
  <c r="F34" i="9"/>
  <c r="F51" i="9" s="1"/>
  <c r="I436" i="5"/>
  <c r="J436" i="5" s="1"/>
  <c r="I171" i="5"/>
  <c r="J171" i="5" s="1"/>
  <c r="I267" i="5"/>
  <c r="J267" i="5" s="1"/>
  <c r="I364" i="5"/>
  <c r="J364" i="5" s="1"/>
  <c r="I195" i="5"/>
  <c r="J195" i="5" s="1"/>
  <c r="I291" i="5"/>
  <c r="J291" i="5" s="1"/>
  <c r="I388" i="5"/>
  <c r="J388" i="5" s="1"/>
  <c r="I484" i="5"/>
  <c r="J484" i="5" s="1"/>
  <c r="I147" i="5"/>
  <c r="J147" i="5" s="1"/>
  <c r="I123" i="5"/>
  <c r="J123" i="5" s="1"/>
  <c r="I26" i="5"/>
  <c r="J26" i="5" s="1"/>
  <c r="I218" i="5"/>
  <c r="J218" i="5" s="1"/>
  <c r="I74" i="5"/>
  <c r="J74" i="5" s="1"/>
  <c r="I99" i="5"/>
  <c r="J99" i="5" s="1"/>
  <c r="I460" i="5"/>
  <c r="J460" i="5" s="1"/>
  <c r="I317" i="5"/>
  <c r="J317" i="5" s="1"/>
  <c r="I341" i="5"/>
  <c r="J341" i="5" s="1"/>
  <c r="I50" i="5"/>
  <c r="J50" i="5" s="1"/>
  <c r="I412" i="5"/>
  <c r="J412" i="5" s="1"/>
  <c r="I243" i="5"/>
  <c r="J243" i="5" s="1"/>
  <c r="I321" i="5"/>
  <c r="J321" i="5" s="1"/>
  <c r="I127" i="5"/>
  <c r="J127" i="5" s="1"/>
  <c r="I392" i="5"/>
  <c r="J392" i="5" s="1"/>
  <c r="I199" i="5"/>
  <c r="J199" i="5" s="1"/>
  <c r="I103" i="5"/>
  <c r="J103" i="5" s="1"/>
  <c r="I175" i="5"/>
  <c r="J175" i="5" s="1"/>
  <c r="I78" i="5"/>
  <c r="J78" i="5" s="1"/>
  <c r="I30" i="5"/>
  <c r="J30" i="5" s="1"/>
  <c r="I271" i="5"/>
  <c r="J271" i="5" s="1"/>
  <c r="I440" i="5"/>
  <c r="J440" i="5" s="1"/>
  <c r="I488" i="5"/>
  <c r="J488" i="5" s="1"/>
  <c r="F38" i="9"/>
  <c r="F55" i="9" s="1"/>
  <c r="I54" i="5"/>
  <c r="J54" i="5" s="1"/>
  <c r="I345" i="5"/>
  <c r="J345" i="5" s="1"/>
  <c r="I222" i="5"/>
  <c r="J222" i="5" s="1"/>
  <c r="I368" i="5"/>
  <c r="J368" i="5" s="1"/>
  <c r="I295" i="5"/>
  <c r="J295" i="5" s="1"/>
  <c r="I151" i="5"/>
  <c r="J151" i="5" s="1"/>
  <c r="I247" i="5"/>
  <c r="J247" i="5" s="1"/>
  <c r="I416" i="5"/>
  <c r="J416" i="5" s="1"/>
  <c r="I464" i="5"/>
  <c r="J464" i="5" s="1"/>
  <c r="H432" i="5"/>
  <c r="G433" i="5" s="1"/>
  <c r="F433" i="5" s="1"/>
  <c r="H119" i="5"/>
  <c r="G120" i="5" s="1"/>
  <c r="F120" i="5" s="1"/>
  <c r="H120" i="5" s="1"/>
  <c r="G121" i="5" s="1"/>
  <c r="F121" i="5" s="1"/>
  <c r="H121" i="5" s="1"/>
  <c r="G122" i="5" s="1"/>
  <c r="F122" i="5" s="1"/>
  <c r="H122" i="5" s="1"/>
  <c r="G123" i="5" s="1"/>
  <c r="F123" i="5" s="1"/>
  <c r="I33" i="5"/>
  <c r="J33" i="5" s="1"/>
  <c r="I348" i="5"/>
  <c r="J348" i="5" s="1"/>
  <c r="I130" i="5"/>
  <c r="J130" i="5" s="1"/>
  <c r="I250" i="5"/>
  <c r="J250" i="5" s="1"/>
  <c r="I225" i="5"/>
  <c r="J225" i="5" s="1"/>
  <c r="I202" i="5"/>
  <c r="J202" i="5" s="1"/>
  <c r="I81" i="5"/>
  <c r="J81" i="5" s="1"/>
  <c r="F41" i="9"/>
  <c r="I41" i="9" s="1"/>
  <c r="I274" i="5"/>
  <c r="J274" i="5" s="1"/>
  <c r="I371" i="5"/>
  <c r="J371" i="5" s="1"/>
  <c r="I324" i="5"/>
  <c r="J324" i="5" s="1"/>
  <c r="I106" i="5"/>
  <c r="J106" i="5" s="1"/>
  <c r="I298" i="5"/>
  <c r="J298" i="5" s="1"/>
  <c r="I395" i="5"/>
  <c r="J395" i="5" s="1"/>
  <c r="I154" i="5"/>
  <c r="J154" i="5" s="1"/>
  <c r="I419" i="5"/>
  <c r="J419" i="5" s="1"/>
  <c r="I178" i="5"/>
  <c r="J178" i="5" s="1"/>
  <c r="I491" i="5"/>
  <c r="J491" i="5" s="1"/>
  <c r="I57" i="5"/>
  <c r="J57" i="5" s="1"/>
  <c r="I443" i="5"/>
  <c r="J443" i="5" s="1"/>
  <c r="I467" i="5"/>
  <c r="J467" i="5" s="1"/>
  <c r="H70" i="5"/>
  <c r="G71" i="5" s="1"/>
  <c r="F71" i="5" s="1"/>
  <c r="I337" i="5"/>
  <c r="I480" i="5"/>
  <c r="I119" i="5"/>
  <c r="F30" i="9"/>
  <c r="F47" i="9" s="1"/>
  <c r="I432" i="5"/>
  <c r="I456" i="5"/>
  <c r="I313" i="5"/>
  <c r="I167" i="5"/>
  <c r="I384" i="5"/>
  <c r="I143" i="5"/>
  <c r="I191" i="5"/>
  <c r="I22" i="5"/>
  <c r="G45" i="3"/>
  <c r="I287" i="5"/>
  <c r="I239" i="5"/>
  <c r="I46" i="5"/>
  <c r="I70" i="5"/>
  <c r="I214" i="5"/>
  <c r="I95" i="5"/>
  <c r="I408" i="5"/>
  <c r="I360" i="5"/>
  <c r="I263" i="5"/>
  <c r="H191" i="5"/>
  <c r="G192" i="5" s="1"/>
  <c r="F192" i="5" s="1"/>
  <c r="C50" i="9"/>
  <c r="M26" i="9"/>
  <c r="C40" i="9" s="1"/>
  <c r="I50" i="9" l="1"/>
  <c r="I33" i="9"/>
  <c r="I36" i="9"/>
  <c r="I37" i="9"/>
  <c r="I47" i="9"/>
  <c r="I30" i="9"/>
  <c r="C49" i="9"/>
  <c r="I49" i="9" s="1"/>
  <c r="I32" i="9"/>
  <c r="C48" i="9"/>
  <c r="I48" i="9" s="1"/>
  <c r="I31" i="9"/>
  <c r="H409" i="5"/>
  <c r="G410" i="5" s="1"/>
  <c r="F410" i="5" s="1"/>
  <c r="H410" i="5" s="1"/>
  <c r="G411" i="5" s="1"/>
  <c r="F411" i="5" s="1"/>
  <c r="H411" i="5" s="1"/>
  <c r="G412" i="5" s="1"/>
  <c r="F412" i="5" s="1"/>
  <c r="H412" i="5" s="1"/>
  <c r="H361" i="5"/>
  <c r="G362" i="5" s="1"/>
  <c r="F362" i="5" s="1"/>
  <c r="H362" i="5" s="1"/>
  <c r="G363" i="5" s="1"/>
  <c r="F363" i="5" s="1"/>
  <c r="H314" i="5"/>
  <c r="G315" i="5" s="1"/>
  <c r="F315" i="5" s="1"/>
  <c r="H315" i="5" s="1"/>
  <c r="G316" i="5" s="1"/>
  <c r="F316" i="5" s="1"/>
  <c r="H316" i="5" s="1"/>
  <c r="J46" i="5"/>
  <c r="J58" i="5" s="1"/>
  <c r="I58" i="5"/>
  <c r="H288" i="5"/>
  <c r="G289" i="5" s="1"/>
  <c r="F289" i="5" s="1"/>
  <c r="J263" i="5"/>
  <c r="J275" i="5" s="1"/>
  <c r="I275" i="5"/>
  <c r="J287" i="5"/>
  <c r="J299" i="5" s="1"/>
  <c r="I299" i="5"/>
  <c r="I468" i="5"/>
  <c r="J456" i="5"/>
  <c r="J468" i="5" s="1"/>
  <c r="H386" i="5"/>
  <c r="G387" i="5" s="1"/>
  <c r="F387" i="5" s="1"/>
  <c r="H457" i="5"/>
  <c r="G458" i="5" s="1"/>
  <c r="F458" i="5" s="1"/>
  <c r="I34" i="9"/>
  <c r="H192" i="5"/>
  <c r="G193" i="5" s="1"/>
  <c r="F193" i="5" s="1"/>
  <c r="J167" i="5"/>
  <c r="J179" i="5" s="1"/>
  <c r="I179" i="5"/>
  <c r="I38" i="9"/>
  <c r="C55" i="9"/>
  <c r="I55" i="9" s="1"/>
  <c r="J360" i="5"/>
  <c r="J372" i="5" s="1"/>
  <c r="I372" i="5"/>
  <c r="H24" i="6"/>
  <c r="H74" i="6"/>
  <c r="F93" i="10"/>
  <c r="C223" i="10" s="1"/>
  <c r="E223" i="10" s="1"/>
  <c r="F223" i="10" s="1"/>
  <c r="G223" i="10" s="1"/>
  <c r="H139" i="6"/>
  <c r="I139" i="6" s="1"/>
  <c r="F33" i="10"/>
  <c r="C220" i="10" s="1"/>
  <c r="E220" i="10" s="1"/>
  <c r="H94" i="6"/>
  <c r="I94" i="6" s="1"/>
  <c r="H33" i="6"/>
  <c r="I33" i="6" s="1"/>
  <c r="F153" i="10"/>
  <c r="C226" i="10" s="1"/>
  <c r="E226" i="10" s="1"/>
  <c r="F226" i="10" s="1"/>
  <c r="G226" i="10" s="1"/>
  <c r="H105" i="6"/>
  <c r="I105" i="6" s="1"/>
  <c r="H88" i="6"/>
  <c r="H65" i="6"/>
  <c r="I65" i="6" s="1"/>
  <c r="H145" i="6"/>
  <c r="I145" i="6" s="1"/>
  <c r="H110" i="6"/>
  <c r="I110" i="6" s="1"/>
  <c r="F133" i="10"/>
  <c r="C225" i="10" s="1"/>
  <c r="E225" i="10" s="1"/>
  <c r="F225" i="10" s="1"/>
  <c r="G225" i="10" s="1"/>
  <c r="F213" i="10"/>
  <c r="C229" i="10" s="1"/>
  <c r="E229" i="10" s="1"/>
  <c r="F229" i="10" s="1"/>
  <c r="G229" i="10" s="1"/>
  <c r="H130" i="6"/>
  <c r="H91" i="6"/>
  <c r="I91" i="6" s="1"/>
  <c r="H53" i="6"/>
  <c r="I53" i="6" s="1"/>
  <c r="H149" i="6"/>
  <c r="I149" i="6" s="1"/>
  <c r="H93" i="6"/>
  <c r="I93" i="6" s="1"/>
  <c r="H125" i="6"/>
  <c r="I125" i="6" s="1"/>
  <c r="H41" i="6"/>
  <c r="I41" i="6" s="1"/>
  <c r="H116" i="6"/>
  <c r="H97" i="6"/>
  <c r="I97" i="6" s="1"/>
  <c r="H167" i="6"/>
  <c r="I167" i="6" s="1"/>
  <c r="F173" i="10"/>
  <c r="C227" i="10" s="1"/>
  <c r="E227" i="10" s="1"/>
  <c r="F227" i="10" s="1"/>
  <c r="G227" i="10" s="1"/>
  <c r="H161" i="6"/>
  <c r="I161" i="6" s="1"/>
  <c r="H38" i="6"/>
  <c r="I38" i="6" s="1"/>
  <c r="H23" i="6"/>
  <c r="H61" i="6"/>
  <c r="I61" i="6" s="1"/>
  <c r="H54" i="6"/>
  <c r="I54" i="6" s="1"/>
  <c r="F113" i="10"/>
  <c r="C224" i="10" s="1"/>
  <c r="E224" i="10" s="1"/>
  <c r="F224" i="10" s="1"/>
  <c r="G224" i="10" s="1"/>
  <c r="H20" i="6"/>
  <c r="H82" i="6"/>
  <c r="I82" i="6" s="1"/>
  <c r="H158" i="6"/>
  <c r="H106" i="6"/>
  <c r="I106" i="6" s="1"/>
  <c r="H51" i="6"/>
  <c r="I51" i="6" s="1"/>
  <c r="H21" i="6"/>
  <c r="H146" i="6"/>
  <c r="I146" i="6" s="1"/>
  <c r="H18" i="6"/>
  <c r="H69" i="6"/>
  <c r="I69" i="6" s="1"/>
  <c r="F73" i="10"/>
  <c r="C222" i="10" s="1"/>
  <c r="E222" i="10" s="1"/>
  <c r="F222" i="10" s="1"/>
  <c r="G222" i="10" s="1"/>
  <c r="H111" i="6"/>
  <c r="I111" i="6" s="1"/>
  <c r="H147" i="6"/>
  <c r="I147" i="6" s="1"/>
  <c r="H40" i="6"/>
  <c r="I40" i="6" s="1"/>
  <c r="H148" i="6"/>
  <c r="I148" i="6" s="1"/>
  <c r="H151" i="6"/>
  <c r="I151" i="6" s="1"/>
  <c r="H47" i="6"/>
  <c r="I47" i="6" s="1"/>
  <c r="H133" i="6"/>
  <c r="I133" i="6" s="1"/>
  <c r="H122" i="6"/>
  <c r="I122" i="6" s="1"/>
  <c r="H153" i="6"/>
  <c r="I153" i="6" s="1"/>
  <c r="H121" i="6"/>
  <c r="I121" i="6" s="1"/>
  <c r="H124" i="6"/>
  <c r="I124" i="6" s="1"/>
  <c r="H120" i="6"/>
  <c r="I120" i="6" s="1"/>
  <c r="H25" i="6"/>
  <c r="H131" i="6"/>
  <c r="I131" i="6" s="1"/>
  <c r="H76" i="6"/>
  <c r="I76" i="6" s="1"/>
  <c r="H32" i="6"/>
  <c r="H22" i="6"/>
  <c r="H79" i="6"/>
  <c r="I79" i="6" s="1"/>
  <c r="H136" i="6"/>
  <c r="I136" i="6" s="1"/>
  <c r="H104" i="6"/>
  <c r="I104" i="6" s="1"/>
  <c r="H27" i="6"/>
  <c r="H150" i="6"/>
  <c r="I150" i="6" s="1"/>
  <c r="H35" i="6"/>
  <c r="I35" i="6" s="1"/>
  <c r="H81" i="6"/>
  <c r="I81" i="6" s="1"/>
  <c r="H60" i="6"/>
  <c r="F53" i="10"/>
  <c r="C221" i="10" s="1"/>
  <c r="E221" i="10" s="1"/>
  <c r="F221" i="10" s="1"/>
  <c r="G221" i="10" s="1"/>
  <c r="H96" i="6"/>
  <c r="I96" i="6" s="1"/>
  <c r="H118" i="6"/>
  <c r="I118" i="6" s="1"/>
  <c r="H162" i="6"/>
  <c r="I162" i="6" s="1"/>
  <c r="H48" i="6"/>
  <c r="I48" i="6" s="1"/>
  <c r="H163" i="6"/>
  <c r="I163" i="6" s="1"/>
  <c r="H46" i="6"/>
  <c r="H135" i="6"/>
  <c r="I135" i="6" s="1"/>
  <c r="H89" i="6"/>
  <c r="I89" i="6" s="1"/>
  <c r="H165" i="6"/>
  <c r="I165" i="6" s="1"/>
  <c r="H34" i="6"/>
  <c r="I34" i="6" s="1"/>
  <c r="H66" i="6"/>
  <c r="I66" i="6" s="1"/>
  <c r="H75" i="6"/>
  <c r="I75" i="6" s="1"/>
  <c r="H119" i="6"/>
  <c r="I119" i="6" s="1"/>
  <c r="H164" i="6"/>
  <c r="I164" i="6" s="1"/>
  <c r="H144" i="6"/>
  <c r="H132" i="6"/>
  <c r="I132" i="6" s="1"/>
  <c r="H26" i="6"/>
  <c r="H160" i="6"/>
  <c r="I160" i="6" s="1"/>
  <c r="H68" i="6"/>
  <c r="I68" i="6" s="1"/>
  <c r="H36" i="6"/>
  <c r="I36" i="6" s="1"/>
  <c r="H63" i="6"/>
  <c r="I63" i="6" s="1"/>
  <c r="H123" i="6"/>
  <c r="I123" i="6" s="1"/>
  <c r="H90" i="6"/>
  <c r="I90" i="6" s="1"/>
  <c r="H103" i="6"/>
  <c r="I103" i="6" s="1"/>
  <c r="H80" i="6"/>
  <c r="I80" i="6" s="1"/>
  <c r="H107" i="6"/>
  <c r="I107" i="6" s="1"/>
  <c r="H37" i="6"/>
  <c r="I37" i="6" s="1"/>
  <c r="H166" i="6"/>
  <c r="I166" i="6" s="1"/>
  <c r="H62" i="6"/>
  <c r="I62" i="6" s="1"/>
  <c r="H137" i="6"/>
  <c r="I137" i="6" s="1"/>
  <c r="H109" i="6"/>
  <c r="I109" i="6" s="1"/>
  <c r="H55" i="6"/>
  <c r="I55" i="6" s="1"/>
  <c r="H138" i="6"/>
  <c r="I138" i="6" s="1"/>
  <c r="H39" i="6"/>
  <c r="I39" i="6" s="1"/>
  <c r="H83" i="6"/>
  <c r="I83" i="6" s="1"/>
  <c r="H108" i="6"/>
  <c r="I108" i="6" s="1"/>
  <c r="H134" i="6"/>
  <c r="I134" i="6" s="1"/>
  <c r="H95" i="6"/>
  <c r="I95" i="6" s="1"/>
  <c r="H102" i="6"/>
  <c r="H67" i="6"/>
  <c r="I67" i="6" s="1"/>
  <c r="H64" i="6"/>
  <c r="I64" i="6" s="1"/>
  <c r="H50" i="6"/>
  <c r="I50" i="6" s="1"/>
  <c r="H19" i="6"/>
  <c r="H152" i="6"/>
  <c r="I152" i="6" s="1"/>
  <c r="H78" i="6"/>
  <c r="I78" i="6" s="1"/>
  <c r="H49" i="6"/>
  <c r="I49" i="6" s="1"/>
  <c r="H117" i="6"/>
  <c r="I117" i="6" s="1"/>
  <c r="H52" i="6"/>
  <c r="I52" i="6" s="1"/>
  <c r="H159" i="6"/>
  <c r="I159" i="6" s="1"/>
  <c r="H77" i="6"/>
  <c r="I77" i="6" s="1"/>
  <c r="F193" i="10"/>
  <c r="C228" i="10" s="1"/>
  <c r="E228" i="10" s="1"/>
  <c r="F228" i="10" s="1"/>
  <c r="G228" i="10" s="1"/>
  <c r="H92" i="6"/>
  <c r="I92" i="6" s="1"/>
  <c r="J432" i="5"/>
  <c r="J444" i="5" s="1"/>
  <c r="I444" i="5"/>
  <c r="I51" i="9"/>
  <c r="C52" i="9"/>
  <c r="I52" i="9" s="1"/>
  <c r="I35" i="9"/>
  <c r="H71" i="5"/>
  <c r="G72" i="5" s="1"/>
  <c r="F72" i="5" s="1"/>
  <c r="J239" i="5"/>
  <c r="J251" i="5" s="1"/>
  <c r="I251" i="5"/>
  <c r="H433" i="5"/>
  <c r="G434" i="5" s="1"/>
  <c r="F434" i="5" s="1"/>
  <c r="H264" i="5"/>
  <c r="G265" i="5" s="1"/>
  <c r="F265" i="5" s="1"/>
  <c r="H23" i="5"/>
  <c r="G24" i="5" s="1"/>
  <c r="F24" i="5" s="1"/>
  <c r="H24" i="5" s="1"/>
  <c r="G25" i="5" s="1"/>
  <c r="F25" i="5" s="1"/>
  <c r="H25" i="5" s="1"/>
  <c r="H339" i="5"/>
  <c r="G340" i="5" s="1"/>
  <c r="F340" i="5" s="1"/>
  <c r="H240" i="5"/>
  <c r="G241" i="5" s="1"/>
  <c r="F241" i="5" s="1"/>
  <c r="H241" i="5" s="1"/>
  <c r="G242" i="5" s="1"/>
  <c r="F242" i="5" s="1"/>
  <c r="H242" i="5" s="1"/>
  <c r="G243" i="5" s="1"/>
  <c r="F243" i="5" s="1"/>
  <c r="H243" i="5" s="1"/>
  <c r="G244" i="5" s="1"/>
  <c r="F244" i="5" s="1"/>
  <c r="H481" i="5"/>
  <c r="G482" i="5" s="1"/>
  <c r="F482" i="5" s="1"/>
  <c r="H216" i="5"/>
  <c r="G217" i="5" s="1"/>
  <c r="F217" i="5" s="1"/>
  <c r="C57" i="9"/>
  <c r="I57" i="9" s="1"/>
  <c r="I40" i="9"/>
  <c r="J95" i="5"/>
  <c r="J107" i="5" s="1"/>
  <c r="I107" i="5"/>
  <c r="J191" i="5"/>
  <c r="J203" i="5" s="1"/>
  <c r="I203" i="5"/>
  <c r="J119" i="5"/>
  <c r="J131" i="5" s="1"/>
  <c r="I131" i="5"/>
  <c r="J313" i="5"/>
  <c r="J325" i="5" s="1"/>
  <c r="I325" i="5"/>
  <c r="J22" i="5"/>
  <c r="J34" i="5" s="1"/>
  <c r="I34" i="5"/>
  <c r="J214" i="5"/>
  <c r="J226" i="5" s="1"/>
  <c r="I226" i="5"/>
  <c r="H168" i="5"/>
  <c r="G169" i="5" s="1"/>
  <c r="F169" i="5" s="1"/>
  <c r="H47" i="5"/>
  <c r="G48" i="5" s="1"/>
  <c r="F48" i="5" s="1"/>
  <c r="H145" i="5"/>
  <c r="G146" i="5" s="1"/>
  <c r="F146" i="5" s="1"/>
  <c r="H146" i="5" s="1"/>
  <c r="G147" i="5" s="1"/>
  <c r="F147" i="5" s="1"/>
  <c r="I39" i="9"/>
  <c r="C56" i="9"/>
  <c r="I56" i="9" s="1"/>
  <c r="J408" i="5"/>
  <c r="J420" i="5" s="1"/>
  <c r="I420" i="5"/>
  <c r="J143" i="5"/>
  <c r="J155" i="5" s="1"/>
  <c r="I155" i="5"/>
  <c r="J480" i="5"/>
  <c r="J492" i="5" s="1"/>
  <c r="I492" i="5"/>
  <c r="J70" i="5"/>
  <c r="J82" i="5" s="1"/>
  <c r="I82" i="5"/>
  <c r="J384" i="5"/>
  <c r="J396" i="5" s="1"/>
  <c r="I396" i="5"/>
  <c r="J337" i="5"/>
  <c r="J349" i="5" s="1"/>
  <c r="I349" i="5"/>
  <c r="H123" i="5"/>
  <c r="G124" i="5" s="1"/>
  <c r="F124" i="5" s="1"/>
  <c r="G99" i="5"/>
  <c r="F99" i="5" s="1"/>
  <c r="I42" i="9" l="1"/>
  <c r="C62" i="9" s="1"/>
  <c r="C23" i="7"/>
  <c r="D23" i="7" s="1"/>
  <c r="C27" i="7"/>
  <c r="D27" i="7" s="1"/>
  <c r="C20" i="7"/>
  <c r="D20" i="7" s="1"/>
  <c r="C25" i="7"/>
  <c r="D25" i="7" s="1"/>
  <c r="I58" i="9"/>
  <c r="C63" i="9" s="1"/>
  <c r="H169" i="5"/>
  <c r="G170" i="5" s="1"/>
  <c r="F170" i="5" s="1"/>
  <c r="H387" i="5"/>
  <c r="G388" i="5" s="1"/>
  <c r="F388" i="5" s="1"/>
  <c r="H388" i="5" s="1"/>
  <c r="G389" i="5" s="1"/>
  <c r="F389" i="5" s="1"/>
  <c r="H389" i="5" s="1"/>
  <c r="G390" i="5" s="1"/>
  <c r="F390" i="5" s="1"/>
  <c r="H147" i="5"/>
  <c r="G148" i="5" s="1"/>
  <c r="F148" i="5" s="1"/>
  <c r="H148" i="5" s="1"/>
  <c r="G149" i="5" s="1"/>
  <c r="F149" i="5" s="1"/>
  <c r="H149" i="5" s="1"/>
  <c r="G150" i="5" s="1"/>
  <c r="F150" i="5" s="1"/>
  <c r="H217" i="5"/>
  <c r="G218" i="5" s="1"/>
  <c r="F218" i="5" s="1"/>
  <c r="H289" i="5"/>
  <c r="G290" i="5" s="1"/>
  <c r="F290" i="5" s="1"/>
  <c r="H290" i="5" s="1"/>
  <c r="G291" i="5" s="1"/>
  <c r="F291" i="5" s="1"/>
  <c r="H434" i="5"/>
  <c r="G435" i="5" s="1"/>
  <c r="F435" i="5" s="1"/>
  <c r="H435" i="5" s="1"/>
  <c r="G436" i="5" s="1"/>
  <c r="F436" i="5" s="1"/>
  <c r="H436" i="5" s="1"/>
  <c r="G437" i="5" s="1"/>
  <c r="F437" i="5" s="1"/>
  <c r="H437" i="5" s="1"/>
  <c r="G438" i="5" s="1"/>
  <c r="F438" i="5" s="1"/>
  <c r="H363" i="5"/>
  <c r="G364" i="5" s="1"/>
  <c r="F364" i="5" s="1"/>
  <c r="H48" i="5"/>
  <c r="G49" i="5" s="1"/>
  <c r="F49" i="5" s="1"/>
  <c r="H340" i="5"/>
  <c r="G341" i="5" s="1"/>
  <c r="F341" i="5" s="1"/>
  <c r="H341" i="5" s="1"/>
  <c r="G342" i="5" s="1"/>
  <c r="F342" i="5" s="1"/>
  <c r="H342" i="5" s="1"/>
  <c r="G343" i="5" s="1"/>
  <c r="F343" i="5" s="1"/>
  <c r="C26" i="7"/>
  <c r="I46" i="6"/>
  <c r="I56" i="6" s="1"/>
  <c r="H56" i="6"/>
  <c r="C36" i="7" s="1"/>
  <c r="I32" i="6"/>
  <c r="I42" i="6" s="1"/>
  <c r="H42" i="6"/>
  <c r="C35" i="7" s="1"/>
  <c r="H98" i="6"/>
  <c r="C39" i="7" s="1"/>
  <c r="I88" i="6"/>
  <c r="I98" i="6" s="1"/>
  <c r="H84" i="6"/>
  <c r="C38" i="7" s="1"/>
  <c r="I74" i="6"/>
  <c r="I84" i="6" s="1"/>
  <c r="H193" i="5"/>
  <c r="G194" i="5" s="1"/>
  <c r="F194" i="5" s="1"/>
  <c r="H194" i="5" s="1"/>
  <c r="G195" i="5" s="1"/>
  <c r="F195" i="5" s="1"/>
  <c r="H195" i="5" s="1"/>
  <c r="I20" i="6"/>
  <c r="E20" i="7"/>
  <c r="F20" i="7" s="1"/>
  <c r="E24" i="7"/>
  <c r="F24" i="7" s="1"/>
  <c r="I24" i="6"/>
  <c r="C24" i="7"/>
  <c r="C19" i="7"/>
  <c r="E18" i="7"/>
  <c r="F18" i="7" s="1"/>
  <c r="H28" i="6"/>
  <c r="I18" i="6"/>
  <c r="H140" i="6"/>
  <c r="C42" i="7" s="1"/>
  <c r="I130" i="6"/>
  <c r="I140" i="6" s="1"/>
  <c r="E22" i="7"/>
  <c r="F22" i="7" s="1"/>
  <c r="I22" i="6"/>
  <c r="I158" i="6"/>
  <c r="I168" i="6" s="1"/>
  <c r="H168" i="6"/>
  <c r="C44" i="7" s="1"/>
  <c r="H72" i="5"/>
  <c r="G73" i="5" s="1"/>
  <c r="F73" i="5" s="1"/>
  <c r="H73" i="5" s="1"/>
  <c r="G74" i="5" s="1"/>
  <c r="F74" i="5" s="1"/>
  <c r="H74" i="5" s="1"/>
  <c r="I25" i="6"/>
  <c r="E25" i="7"/>
  <c r="F25" i="7" s="1"/>
  <c r="H458" i="5"/>
  <c r="G459" i="5" s="1"/>
  <c r="F459" i="5" s="1"/>
  <c r="H459" i="5" s="1"/>
  <c r="G460" i="5" s="1"/>
  <c r="F460" i="5" s="1"/>
  <c r="H460" i="5" s="1"/>
  <c r="G461" i="5" s="1"/>
  <c r="F461" i="5" s="1"/>
  <c r="H461" i="5" s="1"/>
  <c r="G462" i="5" s="1"/>
  <c r="F462" i="5" s="1"/>
  <c r="I102" i="6"/>
  <c r="I112" i="6" s="1"/>
  <c r="H112" i="6"/>
  <c r="C40" i="7" s="1"/>
  <c r="I19" i="6"/>
  <c r="E19" i="7"/>
  <c r="F19" i="7" s="1"/>
  <c r="H482" i="5"/>
  <c r="G483" i="5" s="1"/>
  <c r="F483" i="5" s="1"/>
  <c r="I21" i="6"/>
  <c r="E21" i="7"/>
  <c r="F21" i="7" s="1"/>
  <c r="H154" i="6"/>
  <c r="C43" i="7" s="1"/>
  <c r="I144" i="6"/>
  <c r="I154" i="6" s="1"/>
  <c r="C22" i="7"/>
  <c r="I27" i="6"/>
  <c r="E27" i="7"/>
  <c r="F27" i="7" s="1"/>
  <c r="I116" i="6"/>
  <c r="I126" i="6" s="1"/>
  <c r="H126" i="6"/>
  <c r="C41" i="7" s="1"/>
  <c r="C502" i="5"/>
  <c r="C33" i="7"/>
  <c r="H265" i="5"/>
  <c r="G266" i="5" s="1"/>
  <c r="F266" i="5" s="1"/>
  <c r="G26" i="5"/>
  <c r="F26" i="5" s="1"/>
  <c r="H26" i="5" s="1"/>
  <c r="C503" i="5"/>
  <c r="C32" i="7"/>
  <c r="C18" i="7"/>
  <c r="I26" i="6"/>
  <c r="E26" i="7"/>
  <c r="F26" i="7" s="1"/>
  <c r="I23" i="6"/>
  <c r="E23" i="7"/>
  <c r="F23" i="7" s="1"/>
  <c r="E230" i="10"/>
  <c r="F230" i="10" s="1"/>
  <c r="F220" i="10"/>
  <c r="G220" i="10" s="1"/>
  <c r="H70" i="6"/>
  <c r="C37" i="7" s="1"/>
  <c r="I60" i="6"/>
  <c r="I70" i="6" s="1"/>
  <c r="C21" i="7"/>
  <c r="H244" i="5"/>
  <c r="G245" i="5" s="1"/>
  <c r="F245" i="5" s="1"/>
  <c r="H99" i="5"/>
  <c r="G100" i="5" s="1"/>
  <c r="F100" i="5" s="1"/>
  <c r="G317" i="5"/>
  <c r="F317" i="5" s="1"/>
  <c r="G413" i="5"/>
  <c r="F413" i="5" s="1"/>
  <c r="H124" i="5"/>
  <c r="G125" i="5" s="1"/>
  <c r="F125" i="5" s="1"/>
  <c r="C64" i="9" l="1"/>
  <c r="C63" i="2" s="1"/>
  <c r="C64" i="2" s="1"/>
  <c r="G20" i="7"/>
  <c r="C21" i="2" s="1"/>
  <c r="H20" i="7"/>
  <c r="D21" i="2" s="1"/>
  <c r="H25" i="7"/>
  <c r="D26" i="2" s="1"/>
  <c r="I28" i="6"/>
  <c r="H23" i="7"/>
  <c r="D24" i="2" s="1"/>
  <c r="G25" i="7"/>
  <c r="C26" i="2" s="1"/>
  <c r="G27" i="7"/>
  <c r="C28" i="2" s="1"/>
  <c r="H291" i="5"/>
  <c r="G292" i="5" s="1"/>
  <c r="F292" i="5" s="1"/>
  <c r="D32" i="7"/>
  <c r="C32" i="2"/>
  <c r="G23" i="7"/>
  <c r="C24" i="2" s="1"/>
  <c r="C172" i="6"/>
  <c r="C34" i="7"/>
  <c r="C44" i="2"/>
  <c r="D44" i="7"/>
  <c r="D44" i="2" s="1"/>
  <c r="H27" i="7"/>
  <c r="D28" i="2" s="1"/>
  <c r="H364" i="5"/>
  <c r="G365" i="5" s="1"/>
  <c r="F365" i="5" s="1"/>
  <c r="H365" i="5" s="1"/>
  <c r="G366" i="5" s="1"/>
  <c r="F366" i="5" s="1"/>
  <c r="H366" i="5" s="1"/>
  <c r="G367" i="5" s="1"/>
  <c r="F367" i="5" s="1"/>
  <c r="H218" i="5"/>
  <c r="G219" i="5" s="1"/>
  <c r="F219" i="5" s="1"/>
  <c r="D37" i="7"/>
  <c r="D37" i="2" s="1"/>
  <c r="C37" i="2"/>
  <c r="D35" i="7"/>
  <c r="D35" i="2" s="1"/>
  <c r="C35" i="2"/>
  <c r="H483" i="5"/>
  <c r="G484" i="5" s="1"/>
  <c r="F484" i="5" s="1"/>
  <c r="H484" i="5" s="1"/>
  <c r="G485" i="5" s="1"/>
  <c r="F485" i="5" s="1"/>
  <c r="H485" i="5" s="1"/>
  <c r="G486" i="5" s="1"/>
  <c r="F486" i="5" s="1"/>
  <c r="H486" i="5" s="1"/>
  <c r="G487" i="5" s="1"/>
  <c r="F487" i="5" s="1"/>
  <c r="H487" i="5" s="1"/>
  <c r="G488" i="5" s="1"/>
  <c r="F488" i="5" s="1"/>
  <c r="H488" i="5" s="1"/>
  <c r="G489" i="5" s="1"/>
  <c r="F489" i="5" s="1"/>
  <c r="G75" i="5"/>
  <c r="F75" i="5" s="1"/>
  <c r="H75" i="5" s="1"/>
  <c r="G76" i="5" s="1"/>
  <c r="F76" i="5" s="1"/>
  <c r="G230" i="10"/>
  <c r="C31" i="11"/>
  <c r="C67" i="2" s="1"/>
  <c r="G19" i="7"/>
  <c r="C20" i="2" s="1"/>
  <c r="D19" i="7"/>
  <c r="H19" i="7" s="1"/>
  <c r="D20" i="2" s="1"/>
  <c r="C36" i="2"/>
  <c r="D36" i="7"/>
  <c r="D36" i="2" s="1"/>
  <c r="C41" i="2"/>
  <c r="D41" i="7"/>
  <c r="D41" i="2" s="1"/>
  <c r="D39" i="7"/>
  <c r="D39" i="2" s="1"/>
  <c r="C39" i="2"/>
  <c r="H266" i="5"/>
  <c r="G267" i="5" s="1"/>
  <c r="F267" i="5" s="1"/>
  <c r="H267" i="5" s="1"/>
  <c r="G268" i="5" s="1"/>
  <c r="F268" i="5" s="1"/>
  <c r="H268" i="5" s="1"/>
  <c r="G269" i="5" s="1"/>
  <c r="F269" i="5" s="1"/>
  <c r="G22" i="7"/>
  <c r="C23" i="2" s="1"/>
  <c r="D22" i="7"/>
  <c r="H22" i="7" s="1"/>
  <c r="D23" i="2" s="1"/>
  <c r="D24" i="7"/>
  <c r="H24" i="7" s="1"/>
  <c r="D25" i="2" s="1"/>
  <c r="G24" i="7"/>
  <c r="C25" i="2" s="1"/>
  <c r="H438" i="5"/>
  <c r="G439" i="5" s="1"/>
  <c r="F439" i="5" s="1"/>
  <c r="G18" i="7"/>
  <c r="C19" i="2" s="1"/>
  <c r="D18" i="7"/>
  <c r="H18" i="7" s="1"/>
  <c r="D19" i="2" s="1"/>
  <c r="G21" i="7"/>
  <c r="C22" i="2" s="1"/>
  <c r="D21" i="7"/>
  <c r="H21" i="7" s="1"/>
  <c r="D22" i="2" s="1"/>
  <c r="D26" i="7"/>
  <c r="H26" i="7" s="1"/>
  <c r="D27" i="2" s="1"/>
  <c r="G26" i="7"/>
  <c r="C27" i="2" s="1"/>
  <c r="H49" i="5"/>
  <c r="G50" i="5" s="1"/>
  <c r="F50" i="5" s="1"/>
  <c r="H50" i="5" s="1"/>
  <c r="G51" i="5" s="1"/>
  <c r="F51" i="5" s="1"/>
  <c r="C33" i="2"/>
  <c r="D33" i="7"/>
  <c r="D33" i="2" s="1"/>
  <c r="C40" i="2"/>
  <c r="D40" i="7"/>
  <c r="D40" i="2" s="1"/>
  <c r="D38" i="7"/>
  <c r="D38" i="2" s="1"/>
  <c r="C38" i="2"/>
  <c r="H170" i="5"/>
  <c r="G171" i="5" s="1"/>
  <c r="F171" i="5" s="1"/>
  <c r="H171" i="5" s="1"/>
  <c r="C173" i="6"/>
  <c r="D43" i="7"/>
  <c r="D43" i="2" s="1"/>
  <c r="C43" i="2"/>
  <c r="C42" i="2"/>
  <c r="D42" i="7"/>
  <c r="D42" i="2" s="1"/>
  <c r="H390" i="5"/>
  <c r="H125" i="5"/>
  <c r="G126" i="5" s="1"/>
  <c r="F126" i="5" s="1"/>
  <c r="H343" i="5"/>
  <c r="G344" i="5" s="1"/>
  <c r="F344" i="5" s="1"/>
  <c r="H462" i="5"/>
  <c r="G463" i="5" s="1"/>
  <c r="F463" i="5" s="1"/>
  <c r="H413" i="5"/>
  <c r="G414" i="5" s="1"/>
  <c r="F414" i="5" s="1"/>
  <c r="G27" i="5"/>
  <c r="F27" i="5" s="1"/>
  <c r="H317" i="5"/>
  <c r="G318" i="5" s="1"/>
  <c r="F318" i="5" s="1"/>
  <c r="H100" i="5"/>
  <c r="G101" i="5" s="1"/>
  <c r="F101" i="5" s="1"/>
  <c r="H245" i="5"/>
  <c r="G246" i="5" s="1"/>
  <c r="F246" i="5" s="1"/>
  <c r="H150" i="5"/>
  <c r="G196" i="5"/>
  <c r="F196" i="5" s="1"/>
  <c r="C26" i="11" l="1"/>
  <c r="C27" i="11" s="1"/>
  <c r="H292" i="5"/>
  <c r="G293" i="5" s="1"/>
  <c r="F293" i="5" s="1"/>
  <c r="H293" i="5" s="1"/>
  <c r="G294" i="5" s="1"/>
  <c r="F294" i="5" s="1"/>
  <c r="H269" i="5"/>
  <c r="G270" i="5" s="1"/>
  <c r="F270" i="5" s="1"/>
  <c r="H270" i="5" s="1"/>
  <c r="G271" i="5" s="1"/>
  <c r="F271" i="5" s="1"/>
  <c r="H439" i="5"/>
  <c r="G440" i="5" s="1"/>
  <c r="F440" i="5" s="1"/>
  <c r="H440" i="5" s="1"/>
  <c r="G441" i="5" s="1"/>
  <c r="F441" i="5" s="1"/>
  <c r="C68" i="2"/>
  <c r="C32" i="11"/>
  <c r="H219" i="5"/>
  <c r="G220" i="5" s="1"/>
  <c r="F220" i="5" s="1"/>
  <c r="H51" i="5"/>
  <c r="G52" i="5" s="1"/>
  <c r="F52" i="5" s="1"/>
  <c r="D34" i="7"/>
  <c r="D34" i="2" s="1"/>
  <c r="C34" i="2"/>
  <c r="D32" i="2"/>
  <c r="C48" i="7"/>
  <c r="C47" i="2" s="1"/>
  <c r="G172" i="5"/>
  <c r="F172" i="5" s="1"/>
  <c r="H172" i="5" s="1"/>
  <c r="H414" i="5"/>
  <c r="G415" i="5" s="1"/>
  <c r="F415" i="5" s="1"/>
  <c r="H489" i="5"/>
  <c r="G490" i="5" s="1"/>
  <c r="F490" i="5" s="1"/>
  <c r="H367" i="5"/>
  <c r="G368" i="5" s="1"/>
  <c r="F368" i="5" s="1"/>
  <c r="H126" i="5"/>
  <c r="G127" i="5" s="1"/>
  <c r="F127" i="5" s="1"/>
  <c r="H318" i="5"/>
  <c r="G319" i="5" s="1"/>
  <c r="F319" i="5" s="1"/>
  <c r="H101" i="5"/>
  <c r="G102" i="5" s="1"/>
  <c r="F102" i="5" s="1"/>
  <c r="H76" i="5"/>
  <c r="G77" i="5" s="1"/>
  <c r="F77" i="5" s="1"/>
  <c r="H344" i="5"/>
  <c r="G345" i="5" s="1"/>
  <c r="F345" i="5" s="1"/>
  <c r="H246" i="5"/>
  <c r="G247" i="5" s="1"/>
  <c r="F247" i="5" s="1"/>
  <c r="H27" i="5"/>
  <c r="G28" i="5" s="1"/>
  <c r="F28" i="5" s="1"/>
  <c r="H196" i="5"/>
  <c r="G197" i="5" s="1"/>
  <c r="F197" i="5" s="1"/>
  <c r="H463" i="5"/>
  <c r="G464" i="5" s="1"/>
  <c r="F464" i="5" s="1"/>
  <c r="G151" i="5"/>
  <c r="F151" i="5" s="1"/>
  <c r="G391" i="5"/>
  <c r="F391" i="5" s="1"/>
  <c r="C37" i="11" l="1"/>
  <c r="C71" i="2" s="1"/>
  <c r="C38" i="11"/>
  <c r="C72" i="2" s="1"/>
  <c r="G173" i="5"/>
  <c r="F173" i="5" s="1"/>
  <c r="H173" i="5" s="1"/>
  <c r="G174" i="5" s="1"/>
  <c r="F174" i="5" s="1"/>
  <c r="H52" i="5"/>
  <c r="G53" i="5" s="1"/>
  <c r="F53" i="5" s="1"/>
  <c r="H53" i="5" s="1"/>
  <c r="G54" i="5" s="1"/>
  <c r="F54" i="5" s="1"/>
  <c r="H441" i="5"/>
  <c r="G442" i="5" s="1"/>
  <c r="F442" i="5" s="1"/>
  <c r="H442" i="5" s="1"/>
  <c r="G443" i="5" s="1"/>
  <c r="F443" i="5" s="1"/>
  <c r="H220" i="5"/>
  <c r="G221" i="5" s="1"/>
  <c r="F221" i="5" s="1"/>
  <c r="C49" i="7"/>
  <c r="C48" i="2" s="1"/>
  <c r="H247" i="5"/>
  <c r="G248" i="5" s="1"/>
  <c r="F248" i="5" s="1"/>
  <c r="H294" i="5"/>
  <c r="G295" i="5" s="1"/>
  <c r="F295" i="5" s="1"/>
  <c r="H271" i="5"/>
  <c r="G272" i="5" s="1"/>
  <c r="F272" i="5" s="1"/>
  <c r="H77" i="5"/>
  <c r="G78" i="5" s="1"/>
  <c r="F78" i="5" s="1"/>
  <c r="H490" i="5"/>
  <c r="G491" i="5" s="1"/>
  <c r="F491" i="5" s="1"/>
  <c r="H28" i="5"/>
  <c r="G29" i="5" s="1"/>
  <c r="F29" i="5" s="1"/>
  <c r="H415" i="5"/>
  <c r="G416" i="5" s="1"/>
  <c r="F416" i="5" s="1"/>
  <c r="H319" i="5"/>
  <c r="G320" i="5" s="1"/>
  <c r="F320" i="5" s="1"/>
  <c r="H197" i="5"/>
  <c r="G198" i="5" s="1"/>
  <c r="F198" i="5" s="1"/>
  <c r="H464" i="5"/>
  <c r="G465" i="5" s="1"/>
  <c r="F465" i="5" s="1"/>
  <c r="H102" i="5"/>
  <c r="G103" i="5" s="1"/>
  <c r="F103" i="5" s="1"/>
  <c r="H368" i="5"/>
  <c r="G369" i="5" s="1"/>
  <c r="F369" i="5" s="1"/>
  <c r="H345" i="5"/>
  <c r="G346" i="5" s="1"/>
  <c r="F346" i="5" s="1"/>
  <c r="H391" i="5"/>
  <c r="G392" i="5" s="1"/>
  <c r="F392" i="5" s="1"/>
  <c r="H127" i="5"/>
  <c r="G128" i="5" s="1"/>
  <c r="F128" i="5" s="1"/>
  <c r="H151" i="5"/>
  <c r="G152" i="5" s="1"/>
  <c r="F152" i="5" s="1"/>
  <c r="C85" i="2" l="1"/>
  <c r="C87" i="2" s="1"/>
  <c r="H221" i="5"/>
  <c r="G222" i="5" s="1"/>
  <c r="F222" i="5" s="1"/>
  <c r="H222" i="5" s="1"/>
  <c r="G223" i="5" s="1"/>
  <c r="F223" i="5" s="1"/>
  <c r="H54" i="5"/>
  <c r="G55" i="5" s="1"/>
  <c r="F55" i="5" s="1"/>
  <c r="H128" i="5"/>
  <c r="G129" i="5" s="1"/>
  <c r="F129" i="5" s="1"/>
  <c r="H198" i="5"/>
  <c r="G199" i="5" s="1"/>
  <c r="F199" i="5" s="1"/>
  <c r="H392" i="5"/>
  <c r="G393" i="5" s="1"/>
  <c r="F393" i="5" s="1"/>
  <c r="H346" i="5"/>
  <c r="G347" i="5" s="1"/>
  <c r="F347" i="5" s="1"/>
  <c r="H320" i="5"/>
  <c r="G321" i="5" s="1"/>
  <c r="F321" i="5" s="1"/>
  <c r="H152" i="5"/>
  <c r="G153" i="5" s="1"/>
  <c r="F153" i="5" s="1"/>
  <c r="H29" i="5"/>
  <c r="G30" i="5" s="1"/>
  <c r="F30" i="5" s="1"/>
  <c r="H174" i="5"/>
  <c r="G175" i="5" s="1"/>
  <c r="F175" i="5" s="1"/>
  <c r="H295" i="5"/>
  <c r="G296" i="5" s="1"/>
  <c r="F296" i="5" s="1"/>
  <c r="H78" i="5"/>
  <c r="G79" i="5" s="1"/>
  <c r="F79" i="5" s="1"/>
  <c r="H491" i="5"/>
  <c r="H492" i="5" s="1"/>
  <c r="H465" i="5"/>
  <c r="G466" i="5" s="1"/>
  <c r="F466" i="5" s="1"/>
  <c r="H272" i="5"/>
  <c r="G273" i="5" s="1"/>
  <c r="F273" i="5" s="1"/>
  <c r="H443" i="5"/>
  <c r="H444" i="5" s="1"/>
  <c r="H369" i="5"/>
  <c r="G370" i="5" s="1"/>
  <c r="F370" i="5" s="1"/>
  <c r="H103" i="5"/>
  <c r="G104" i="5" s="1"/>
  <c r="F104" i="5" s="1"/>
  <c r="H416" i="5"/>
  <c r="G417" i="5" s="1"/>
  <c r="F417" i="5" s="1"/>
  <c r="H248" i="5"/>
  <c r="G249" i="5" s="1"/>
  <c r="F249" i="5" s="1"/>
  <c r="H55" i="5" l="1"/>
  <c r="G56" i="5" s="1"/>
  <c r="F56" i="5" s="1"/>
  <c r="H56" i="5" s="1"/>
  <c r="G57" i="5" s="1"/>
  <c r="F57" i="5" s="1"/>
  <c r="G494" i="5"/>
  <c r="H223" i="5"/>
  <c r="G224" i="5" s="1"/>
  <c r="F224" i="5" s="1"/>
  <c r="H321" i="5"/>
  <c r="G322" i="5" s="1"/>
  <c r="F322" i="5" s="1"/>
  <c r="H199" i="5"/>
  <c r="G200" i="5" s="1"/>
  <c r="F200" i="5" s="1"/>
  <c r="H273" i="5"/>
  <c r="G274" i="5" s="1"/>
  <c r="F274" i="5" s="1"/>
  <c r="H249" i="5"/>
  <c r="G250" i="5" s="1"/>
  <c r="F250" i="5" s="1"/>
  <c r="H417" i="5"/>
  <c r="G418" i="5" s="1"/>
  <c r="F418" i="5" s="1"/>
  <c r="H175" i="5"/>
  <c r="G176" i="5" s="1"/>
  <c r="F176" i="5" s="1"/>
  <c r="H466" i="5"/>
  <c r="G467" i="5" s="1"/>
  <c r="F467" i="5" s="1"/>
  <c r="H104" i="5"/>
  <c r="G105" i="5" s="1"/>
  <c r="F105" i="5" s="1"/>
  <c r="H370" i="5"/>
  <c r="G371" i="5" s="1"/>
  <c r="F371" i="5" s="1"/>
  <c r="H79" i="5"/>
  <c r="G80" i="5" s="1"/>
  <c r="F80" i="5" s="1"/>
  <c r="H296" i="5"/>
  <c r="G297" i="5" s="1"/>
  <c r="F297" i="5" s="1"/>
  <c r="H347" i="5"/>
  <c r="G348" i="5" s="1"/>
  <c r="F348" i="5" s="1"/>
  <c r="H393" i="5"/>
  <c r="G394" i="5" s="1"/>
  <c r="F394" i="5" s="1"/>
  <c r="H30" i="5"/>
  <c r="G31" i="5" s="1"/>
  <c r="F31" i="5" s="1"/>
  <c r="G446" i="5"/>
  <c r="H153" i="5"/>
  <c r="G154" i="5" s="1"/>
  <c r="F154" i="5" s="1"/>
  <c r="H129" i="5"/>
  <c r="G130" i="5" s="1"/>
  <c r="F130" i="5" s="1"/>
  <c r="H224" i="5" l="1"/>
  <c r="G225" i="5" s="1"/>
  <c r="F225" i="5" s="1"/>
  <c r="H80" i="5"/>
  <c r="G81" i="5" s="1"/>
  <c r="F81" i="5" s="1"/>
  <c r="H348" i="5"/>
  <c r="H349" i="5" s="1"/>
  <c r="H105" i="5"/>
  <c r="G106" i="5" s="1"/>
  <c r="F106" i="5" s="1"/>
  <c r="H57" i="5"/>
  <c r="H58" i="5" s="1"/>
  <c r="H467" i="5"/>
  <c r="H468" i="5" s="1"/>
  <c r="H200" i="5"/>
  <c r="G201" i="5" s="1"/>
  <c r="F201" i="5" s="1"/>
  <c r="H394" i="5"/>
  <c r="G395" i="5" s="1"/>
  <c r="F395" i="5" s="1"/>
  <c r="H130" i="5"/>
  <c r="H131" i="5" s="1"/>
  <c r="H154" i="5"/>
  <c r="H155" i="5" s="1"/>
  <c r="H418" i="5"/>
  <c r="G419" i="5" s="1"/>
  <c r="F419" i="5" s="1"/>
  <c r="H250" i="5"/>
  <c r="H251" i="5" s="1"/>
  <c r="H274" i="5"/>
  <c r="H275" i="5" s="1"/>
  <c r="H31" i="5"/>
  <c r="G32" i="5" s="1"/>
  <c r="F32" i="5" s="1"/>
  <c r="H176" i="5"/>
  <c r="G177" i="5" s="1"/>
  <c r="F177" i="5" s="1"/>
  <c r="H297" i="5"/>
  <c r="G298" i="5" s="1"/>
  <c r="F298" i="5" s="1"/>
  <c r="H371" i="5"/>
  <c r="H372" i="5" s="1"/>
  <c r="H322" i="5"/>
  <c r="G323" i="5" s="1"/>
  <c r="F323" i="5" s="1"/>
  <c r="H225" i="5" l="1"/>
  <c r="H226" i="5" s="1"/>
  <c r="G60" i="5"/>
  <c r="G157" i="5"/>
  <c r="G374" i="5"/>
  <c r="G277" i="5"/>
  <c r="G470" i="5"/>
  <c r="G253" i="5"/>
  <c r="H419" i="5"/>
  <c r="H420" i="5" s="1"/>
  <c r="H81" i="5"/>
  <c r="H82" i="5" s="1"/>
  <c r="G133" i="5"/>
  <c r="H106" i="5"/>
  <c r="H107" i="5" s="1"/>
  <c r="H298" i="5"/>
  <c r="H299" i="5" s="1"/>
  <c r="H395" i="5"/>
  <c r="H396" i="5" s="1"/>
  <c r="H201" i="5"/>
  <c r="G202" i="5" s="1"/>
  <c r="F202" i="5" s="1"/>
  <c r="H177" i="5"/>
  <c r="G178" i="5" s="1"/>
  <c r="F178" i="5" s="1"/>
  <c r="G351" i="5"/>
  <c r="H32" i="5"/>
  <c r="G33" i="5" s="1"/>
  <c r="F33" i="5" s="1"/>
  <c r="H323" i="5"/>
  <c r="G324" i="5" s="1"/>
  <c r="F324" i="5" s="1"/>
  <c r="G398" i="5" l="1"/>
  <c r="G228" i="5"/>
  <c r="H178" i="5"/>
  <c r="H179" i="5" s="1"/>
  <c r="G109" i="5"/>
  <c r="H202" i="5"/>
  <c r="H203" i="5" s="1"/>
  <c r="G84" i="5"/>
  <c r="H324" i="5"/>
  <c r="H325" i="5" s="1"/>
  <c r="H33" i="5"/>
  <c r="H34" i="5" s="1"/>
  <c r="G301" i="5"/>
  <c r="G422" i="5"/>
  <c r="G327" i="5" l="1"/>
  <c r="G181" i="5"/>
  <c r="G205" i="5"/>
  <c r="G36" i="5"/>
</calcChain>
</file>

<file path=xl/sharedStrings.xml><?xml version="1.0" encoding="utf-8"?>
<sst xmlns="http://schemas.openxmlformats.org/spreadsheetml/2006/main" count="2029" uniqueCount="871">
  <si>
    <t xml:space="preserve">This is a beta version of the calculation tool for Livestock Manure Management projects. </t>
  </si>
  <si>
    <t>Please inform the Climate Action Reserve of any issues that arise while using the tool by sending an email to policy@climateactionreserve.org</t>
  </si>
  <si>
    <t>Note on use of this tool:</t>
  </si>
  <si>
    <t xml:space="preserve">This tool is provided as a service to Reserve account holders, and is intended for the exclusive use of Reserve account holders and their designated agents.  As a condition to accessing the tool, the account holder agrees not to share the tool with third parties, with the exception of the project verifier and any others for whom the account holder has executed a Designation of Authority form.  Violation of this confidentiality provision shall be considered a violation of the Reserve’s Terms of Use.  Project developers and verifiers are expected to independently validate the tool prior to using it.  The project account holder bears sole responsibility for generating accurate project data.  The Reserve shall not be liable for any errors that result from usage of this tool.  The Reserve updates the tool from time to time.  It is the responsibility of the project account holder and verifier to confirm usage of the correct version of the tool.
</t>
  </si>
  <si>
    <t>Introduction to the Reserve Livestock Calculation Tool (RLCT):</t>
  </si>
  <si>
    <r>
      <t>The Climate Action Reserve (Reserve) has developed this calculation tool to in order to assist with the quantification of emission reductions in accordance with the Reserve's Livestock Project Protocol (LSPP).  The tool is designed to be as "user-friendly" as possible, although upon first glance, this tool may seem very complicated.  It is important to note that</t>
    </r>
    <r>
      <rPr>
        <b/>
        <sz val="10"/>
        <rFont val="Arial"/>
        <family val="2"/>
      </rPr>
      <t xml:space="preserve"> the </t>
    </r>
    <r>
      <rPr>
        <b/>
        <i/>
        <sz val="10"/>
        <rFont val="Arial"/>
        <family val="2"/>
      </rPr>
      <t>only</t>
    </r>
    <r>
      <rPr>
        <b/>
        <sz val="10"/>
        <rFont val="Arial"/>
        <family val="2"/>
      </rPr>
      <t xml:space="preserve"> worksheets that require user input are worksheets III, IV, and V</t>
    </r>
    <r>
      <rPr>
        <sz val="10"/>
        <rFont val="Arial"/>
        <family val="2"/>
      </rPr>
      <t>.  The rest of the worksheets are for automatic calculations, tables and references, and equation summaries.  All worksheets other than III, IV, and V require NO user input or manipulation. With this in mind, the overall layout is described below. A separate user guide is also available as a PDF for quick reference.</t>
    </r>
  </si>
  <si>
    <t>RLCT Organization:</t>
  </si>
  <si>
    <t>Worksheet I. - Intro and Instructions</t>
  </si>
  <si>
    <t>Worksheet II.  - Calculation Summary - This page is where you will find a summary of the final emission reduction calculation results that will be reported to the Reserve.</t>
  </si>
  <si>
    <t>Worksheet III. - Data Inputs for the Baseline Scenario - This page is for inputting all baseline data  (drawn from on-site data and from lookup tables) necessary for the baseline emissions calculation.</t>
  </si>
  <si>
    <t>Worksheet IV. - Data Inputs for the Project Scenario - This page is for inputting all project data (drawn from on-site data and lookup tables) necessary for the project emissions calculation.</t>
  </si>
  <si>
    <r>
      <t xml:space="preserve">Worksheet V. - Baseline Methane Emissions from the Anaerobic Storage/Treatment System(s) - This page is mostly automated, however </t>
    </r>
    <r>
      <rPr>
        <b/>
        <sz val="10"/>
        <color indexed="10"/>
        <rFont val="Arial"/>
        <family val="2"/>
      </rPr>
      <t>the user is responsible for manually entering data from the previous year's calculation.</t>
    </r>
  </si>
  <si>
    <t>Worksheet VI. - Baseline Methane Emissions from Non-Anaerobic Storage/Treatment Systems - No user input/adjustments required.</t>
  </si>
  <si>
    <t>Worksheet VII. - Total Baseline Emissions - A summary of total baseline methane emissions by livestock category and storage/treatment system.  No user input/adjustment required.</t>
  </si>
  <si>
    <t>Worksheet VIII. - Project Methane Emissions from the Biogas Collection System - Automated, no user input/adjustment required.</t>
  </si>
  <si>
    <t>Worksheet IX - Project Methane Emissions from venting events - Automated, no user input/adjustment required.</t>
  </si>
  <si>
    <t>Worksheet X - Project Methane Emissions from the Effluent Pond - Automated, no user input/adjustment required.</t>
  </si>
  <si>
    <t>Worksheet XI - Project Methane Emissions from Non-BCS Systems -  Automated, no user input/adjustment required.</t>
  </si>
  <si>
    <t>Worksheet XII. - Total Project Methane Emissions - A summary of total Project methane emissions.  Automated, no user input/adjustment required.</t>
  </si>
  <si>
    <t>Worksheet XIII. - Total Baseline CO2 Emissions and Total Project CO2 Emissions - Automated, no user input/adjustment required.</t>
  </si>
  <si>
    <t>Worksheet XIV. - Reference Tables</t>
  </si>
  <si>
    <t>Description of Inputs</t>
  </si>
  <si>
    <t>Below you will find a description of the required monthly inputs (all other inputs are on an annual basis):</t>
  </si>
  <si>
    <t>On a month-by-month basis, project developers need to input into this calculation tool the following variables:</t>
  </si>
  <si>
    <t>1)  Average monthly site temperature -- Worksheet III, Section III.B. (Note: User is required to input the average monthly temperature of the last four months of the previous year.)</t>
  </si>
  <si>
    <t>2) Update livestock populations -- Worksheet III, Section III.D</t>
  </si>
  <si>
    <t>3) Update the metered quantity of methane captured and combusted by the Biogas Collection System -- Worksheet IV, section A.</t>
  </si>
  <si>
    <t>Other variables/parameters are inserted into this calculation tool just once a year, and some only once at the start of the project.</t>
  </si>
  <si>
    <t>This Workbook automatically calculates methane emissions using the monthly data uploaded by project developers and values taken from the protocol.</t>
  </si>
  <si>
    <t>For convenience of use, cells within the worksheets are defined such that:</t>
  </si>
  <si>
    <t xml:space="preserve">    - fields that are required to be populated by the user using site-specific data are highlighted in Yellow.  </t>
  </si>
  <si>
    <t xml:space="preserve">     -fields that are required to be populated by information drawn from tables on Worksheet XIV are highlighted in Orange.</t>
  </si>
  <si>
    <r>
      <t xml:space="preserve">     -fields that are automatically calculated </t>
    </r>
    <r>
      <rPr>
        <b/>
        <sz val="10"/>
        <rFont val="Arial"/>
        <family val="2"/>
      </rPr>
      <t>but must be recorded and used as input for the next year's calculation are highlighted in Peach.</t>
    </r>
  </si>
  <si>
    <t xml:space="preserve">    - fields that are automatically completed using data drawn from information previously provided by the user are highlighted in Green.  </t>
  </si>
  <si>
    <t xml:space="preserve">    - constant values are provided in the Gray fields.</t>
  </si>
  <si>
    <t xml:space="preserve">    - fields that are automatically calculated  based on the site-specific and default values are highlighted in Blue.</t>
  </si>
  <si>
    <t xml:space="preserve">     -fields showing the final calculation results are highlighted in Rose.</t>
  </si>
  <si>
    <t xml:space="preserve">     -fields showing alerts and notes to the user are highlighted in Red.</t>
  </si>
  <si>
    <t xml:space="preserve"> - fields available for user notes and comments are highlighted in pale yellow</t>
  </si>
  <si>
    <r>
      <rPr>
        <b/>
        <sz val="10"/>
        <color indexed="10"/>
        <rFont val="Arial"/>
        <family val="2"/>
      </rPr>
      <t>DISCLAIMER:</t>
    </r>
    <r>
      <rPr>
        <sz val="10"/>
        <color indexed="10"/>
        <rFont val="Arial"/>
        <family val="2"/>
      </rPr>
      <t xml:space="preserve"> This model is intended to aid in the calculation of emission reductions using the guidelines and calculation methodologies prescribed in the Climate Action Reserve's </t>
    </r>
    <r>
      <rPr>
        <b/>
        <sz val="10"/>
        <color indexed="10"/>
        <rFont val="Arial"/>
        <family val="2"/>
      </rPr>
      <t>Livestock Project Protocol V4.0</t>
    </r>
    <r>
      <rPr>
        <sz val="10"/>
        <color indexed="10"/>
        <rFont val="Arial"/>
        <family val="2"/>
      </rPr>
      <t xml:space="preserve">.  All emission reduction calculations must be double-checked and verified by a 3rd party verifier, and all material errors and/or misstatements must be corrected before the emission reductions are registered with the Climate Action Reserve. </t>
    </r>
    <r>
      <rPr>
        <b/>
        <sz val="10"/>
        <color indexed="10"/>
        <rFont val="Arial"/>
        <family val="2"/>
      </rPr>
      <t>The language of the LPP always supercedes any guidance contained within this tool.</t>
    </r>
  </si>
  <si>
    <t>Summary of Changes from V4.0f to V4.0g - May 2018</t>
  </si>
  <si>
    <t>Worksheet XIV. Reference Tables</t>
  </si>
  <si>
    <t xml:space="preserve"> - Added updated TAM and VS values for 2016</t>
  </si>
  <si>
    <t>Summary of Changes from V4.0e to V4.0f - May 2017</t>
  </si>
  <si>
    <t>Worksheet III - Table III.C</t>
  </si>
  <si>
    <t xml:space="preserve"> - Introduced unique identifiers for each group of livestock, allowing for multiple populations of the same category to be modeled separately without tripping up the various lookup formulae throughout the tool. This change also reverses the previous change from 4.0d to 4.0e.</t>
  </si>
  <si>
    <t>Summary of Changes from V4.0d to V4.0e - May 2017</t>
  </si>
  <si>
    <t>Worksheet IV - Table IV.C</t>
  </si>
  <si>
    <t xml:space="preserve"> - The HLOOKUP function in Table IV.C was returning the incorrect population value in cases where a project is modeling multiple streams of manure from the same livestock category. This formula was revised to allow projects to input multiple streams of manure from the same livestock type.</t>
  </si>
  <si>
    <t>Summary of Changes from V4.0c to V4.0d - October 2016</t>
  </si>
  <si>
    <t xml:space="preserve"> - Added updated TAM and VS values for 2014</t>
  </si>
  <si>
    <t>Summary of Changes from V4.0b to V4.0c - August 2016</t>
  </si>
  <si>
    <t xml:space="preserve"> - Fixed calculation of PE from non-anaerobic treatment of digester effluent, which was previously returning an error if this section was not used.</t>
  </si>
  <si>
    <t>Summary of Changes from V4.0a to V4.0b - June 2016</t>
  </si>
  <si>
    <r>
      <t>Worksheet X. PE CH</t>
    </r>
    <r>
      <rPr>
        <b/>
        <vertAlign val="subscript"/>
        <sz val="10"/>
        <rFont val="Arial"/>
        <family val="2"/>
      </rPr>
      <t>4,(ET)</t>
    </r>
  </si>
  <si>
    <r>
      <t xml:space="preserve"> - Fixed equation in the range I30:I41. Previously this equation had omitted accounting for ETF</t>
    </r>
    <r>
      <rPr>
        <vertAlign val="subscript"/>
        <sz val="10"/>
        <rFont val="Arial"/>
        <family val="2"/>
      </rPr>
      <t>anaerobic</t>
    </r>
    <r>
      <rPr>
        <sz val="10"/>
        <rFont val="Arial"/>
        <family val="2"/>
      </rPr>
      <t xml:space="preserve"> (H30:H41), leading to an overestimate of CH</t>
    </r>
    <r>
      <rPr>
        <vertAlign val="subscript"/>
        <sz val="10"/>
        <rFont val="Arial"/>
        <family val="2"/>
      </rPr>
      <t>4</t>
    </r>
    <r>
      <rPr>
        <sz val="10"/>
        <rFont val="Arial"/>
        <family val="2"/>
      </rPr>
      <t xml:space="preserve"> emissions from anaerobic treatment of digester effluent.</t>
    </r>
  </si>
  <si>
    <t>Summary of Changes from V3.0g to V4.0a - August 2015</t>
  </si>
  <si>
    <t>Worksheet II. Summary</t>
  </si>
  <si>
    <t xml:space="preserve"> - Updated format to match Equation 5.1 in protocol</t>
  </si>
  <si>
    <t>Worksheet III. Data Inputs-BE</t>
  </si>
  <si>
    <t xml:space="preserve"> - Expanded options for "digester system type" to include "other." Selecting this option will require the application of a user-defined value for BCE on Worksheet IV.</t>
  </si>
  <si>
    <t xml:space="preserve"> - Added question related to greenfield status of project. Selecting "yes" requires projects to apply default greenfield assumptions (Table B.10), where applicable</t>
  </si>
  <si>
    <t xml:space="preserve"> - Updated reporting date input to adjust the tool for the 12 month period beginning with the first month of the reporting period (rather than only calendar years)</t>
  </si>
  <si>
    <r>
      <t xml:space="preserve"> - Added option for site-specific value for B</t>
    </r>
    <r>
      <rPr>
        <vertAlign val="subscript"/>
        <sz val="10"/>
        <rFont val="Arial"/>
        <family val="2"/>
      </rPr>
      <t>0,L</t>
    </r>
    <r>
      <rPr>
        <sz val="10"/>
        <rFont val="Arial"/>
        <family val="2"/>
      </rPr>
      <t xml:space="preserve"> (determined per protocol Section 6.1)</t>
    </r>
  </si>
  <si>
    <t xml:space="preserve"> - Updated Section III.H to allow for accounting of the cleaning frequency for multiple systems or systems which were cleaned less than annually.</t>
  </si>
  <si>
    <t>Worksheet IV. Data Inputs-PE</t>
  </si>
  <si>
    <t xml:space="preserve"> - Added column to allow for use of user-defined BCE value (for systems with more than one category of digester)</t>
  </si>
  <si>
    <t xml:space="preserve"> - Added Table B.9 and Table B.10 from the protocol</t>
  </si>
  <si>
    <t xml:space="preserve"> - Expanded Table B.3 to indicate the possibility of other types of digester systems</t>
  </si>
  <si>
    <t xml:space="preserve"> - Added state-level VS values for 2013</t>
  </si>
  <si>
    <t>Worksheet XIII. CO2</t>
  </si>
  <si>
    <t xml:space="preserve"> - Removed comparison of project electricity generation to consumption</t>
  </si>
  <si>
    <t>Worksheet XV. Calculation Descriptions</t>
  </si>
  <si>
    <t xml:space="preserve"> - Removed. Please refer to the protocol.</t>
  </si>
  <si>
    <t>Summary of Changes from V3.0f to V3.0g - August 14, 2014</t>
  </si>
  <si>
    <t xml:space="preserve"> - Added updated TAM and VS values for 2012</t>
  </si>
  <si>
    <t>Summary of Changes from V3.0e to V3.0f - May 30, 2013</t>
  </si>
  <si>
    <t xml:space="preserve"> - Removed question in Section III.A regarding whether or not this tool represents the first year of project operation (question was unnecessary to quantification steps)</t>
  </si>
  <si>
    <t xml:space="preserve"> - Updated guidance in cell B27. Previously, this cell asked the user to indicate the month that the project became operational. The cell now asks the user to indicate the month that eligible manure was first loaded into the project digester (only applicable if this occurred during the current reporting year).</t>
  </si>
  <si>
    <t>Summary of Changes from V3.0d to V3.0e - May 1, 2013</t>
  </si>
  <si>
    <t xml:space="preserve"> - Updated values for VS and TAM based on US GHG Inventory for 2011</t>
  </si>
  <si>
    <t>Summary of Changes from V3.0c to V3.0d - October 3, 2012</t>
  </si>
  <si>
    <t xml:space="preserve"> - Updated guidance for Section III.B to clarify how projects should adjust their reporting for partial months.</t>
  </si>
  <si>
    <t>Summary of Changes from V3.0b to V3.0c - July 9, 2012</t>
  </si>
  <si>
    <t>Worksheet V. BE CH4,AS</t>
  </si>
  <si>
    <r>
      <t xml:space="preserve"> - Fixed the calculation of BE</t>
    </r>
    <r>
      <rPr>
        <vertAlign val="subscript"/>
        <sz val="10"/>
        <rFont val="Arial"/>
        <family val="2"/>
      </rPr>
      <t>CH4,AS</t>
    </r>
    <r>
      <rPr>
        <sz val="10"/>
        <rFont val="Arial"/>
        <family val="2"/>
      </rPr>
      <t xml:space="preserve"> in column I. The adjustment for missing days of biogas data was not correctly propagated through all rows.</t>
    </r>
  </si>
  <si>
    <t xml:space="preserve"> - Added additional, updated values for typical average mass (TAM) (Table XIV.B)</t>
  </si>
  <si>
    <t>Summary of Changes from V3.0a to V3.0b - March 28, 2012</t>
  </si>
  <si>
    <t>Worksheet I. Introduction</t>
  </si>
  <si>
    <t xml:space="preserve"> - Incorporated the Summary of Changes into the calc tool, replacing the separate file.</t>
  </si>
  <si>
    <t>Worksheet III. Data Inputs - BE</t>
  </si>
  <si>
    <t xml:space="preserve"> - Added a cell to input the type of digester system being used (covered lagoon or enclosed vessel). This selection will cause the BCE value to be automatically populated from the default table (Table B.4 in the protocol)</t>
  </si>
  <si>
    <t xml:space="preserve"> - Fixed error where certain drop-down menus did not appear in Excel 2007</t>
  </si>
  <si>
    <t>Worksheet IV. Data Inputs - PE</t>
  </si>
  <si>
    <t xml:space="preserve"> - BCE is no longer user-specified. The correct default value is populated based on the digester system type selected in Worksheet III.</t>
  </si>
  <si>
    <t xml:space="preserve"> - The value of f (the van't Hoff-Arrhenius factor) is now limited to 0.95</t>
  </si>
  <si>
    <t xml:space="preserve"> - Added Table B.4 from the protocol (labeled here as Table XIV.G)</t>
  </si>
  <si>
    <t>Summary of Changes from V3.0 to V3.0a - March 3, 2012</t>
  </si>
  <si>
    <t>General changes</t>
  </si>
  <si>
    <r>
      <t xml:space="preserve"> </t>
    </r>
    <r>
      <rPr>
        <sz val="10"/>
        <rFont val="Arial"/>
        <family val="2"/>
      </rPr>
      <t>- Renumbered tabs: "IIIa" changed to "IV", and all tabs at "IV" and above increased by one level</t>
    </r>
  </si>
  <si>
    <t xml:space="preserve"> - Section III.A: Average Annual Temperature is now a drop-down menu where users select the closest value to their site's actual recorded average.</t>
  </si>
  <si>
    <t xml:space="preserve"> - Section III.A: An automatic indicator has been added to notify the user as to whether carryover VS values have been entered on sheet V. It does not indicate the completeness of this exercise, but rather only indicates whether the January VS values are greater than zero.</t>
  </si>
  <si>
    <t xml:space="preserve"> - Added to Section III.B. user is now able to prorate the baseline quantification for months where they are missing biogas data and are not reporting emission reductions. The baseline calculation for the anaerobic lagoon, as well as the non-anaerobic treatment systems, will be discounted for the number of days of missing data. This will not affect the calculation of VS that carries over monthly.</t>
  </si>
  <si>
    <t xml:space="preserve"> - Section III.K. Commonly-used fuel types for mobile and stationary combustion are now available through a drop-down list, resulting in the proper emission factor being automatically populated in column E. The first four rows of each section are for these common fuel types, and the last five rows remain open for the use of any fuel type, but the user must look up the correct emission factor.</t>
  </si>
  <si>
    <t xml:space="preserve"> - Updated guidance for section IV.A.iii to be specific regarding the standard temperature and pressure stipulated in the LSPP.</t>
  </si>
  <si>
    <t xml:space="preserve"> - Section IV.C:</t>
  </si>
  <si>
    <r>
      <t xml:space="preserve">    - B</t>
    </r>
    <r>
      <rPr>
        <vertAlign val="subscript"/>
        <sz val="10"/>
        <rFont val="Arial"/>
        <family val="2"/>
      </rPr>
      <t>0,ep</t>
    </r>
    <r>
      <rPr>
        <sz val="10"/>
        <rFont val="Arial"/>
        <family val="2"/>
      </rPr>
      <t xml:space="preserve"> value is now automatically calculated as a weighted average based on the population data and MS</t>
    </r>
    <r>
      <rPr>
        <vertAlign val="subscript"/>
        <sz val="10"/>
        <rFont val="Arial"/>
        <family val="2"/>
      </rPr>
      <t>L,BCS</t>
    </r>
    <r>
      <rPr>
        <sz val="10"/>
        <rFont val="Arial"/>
        <family val="2"/>
      </rPr>
      <t xml:space="preserve"> values. Another unlocked cell is provided if the user prefers to override the default value with their own justified alternative.</t>
    </r>
  </si>
  <si>
    <r>
      <t xml:space="preserve">    - MCF</t>
    </r>
    <r>
      <rPr>
        <vertAlign val="subscript"/>
        <sz val="10"/>
        <rFont val="Arial"/>
        <family val="2"/>
      </rPr>
      <t>ep</t>
    </r>
    <r>
      <rPr>
        <sz val="10"/>
        <rFont val="Arial"/>
        <family val="2"/>
      </rPr>
      <t xml:space="preserve"> value is now automatically referenced from the lookup tables based on the average annual temperature input on Sheet III. Another unlocked cell is provided if the user prefers to override the default value with their own justified alternative.</t>
    </r>
  </si>
  <si>
    <t xml:space="preserve">    - Updated guidance in section IV.C (footnote 2) to reflect the guidance in Equation 5.8 of LSPP V3.0.</t>
  </si>
  <si>
    <t xml:space="preserve"> - Added data validation to section IV.D to allow user selection from drop-down lists. Also, the MCF value now automatically populates from reference table in worksheet XIV.</t>
  </si>
  <si>
    <t xml:space="preserve"> - Section IV.G. For convenience, commonly-used fuel types for mobile and stationary combustion are now able to be selected from a drop-down list, resulting in the proper emission factor being automatically populated in column E. The first four rows of each section are for these common fuels, and the last five rows remain open for the use of any fuel type, but the user must look up the emission factor.</t>
  </si>
  <si>
    <t xml:space="preserve"> - Fixed typo guidance for section IV.G.iv (“less than” changed to “greater than”).</t>
  </si>
  <si>
    <t>Worksheet VIII. PE CH4 (BCS)</t>
  </si>
  <si>
    <t xml:space="preserve"> - In Section VII.A., column G, the calculation returned an error if the temperature and pressure were not entered for a given month (these are entered in Step 3a of worksheet IV). This error would occur only for projects that are calculated less than a full year of data and whose meter does not properly adjust to 60°F and 1 atm. This error was fixed by adding an if/then formula to determine whether emissions reductions are being quantified for each month, and returning a zero for those months which are not being quantified.</t>
  </si>
  <si>
    <t xml:space="preserve"> - For tables that were previously inserted as images, the data were transcribed into cells</t>
  </si>
  <si>
    <t xml:space="preserve">This is a beta version of the calculation tool for Livestock Manure Managememnt projects. </t>
  </si>
  <si>
    <t>Please inform the Reserve of any issues that arise while using the tool by sending an email to policy@climateactionreserve.org</t>
  </si>
  <si>
    <t>Worksheet II:  Emissions Summary</t>
  </si>
  <si>
    <t>Legend:</t>
  </si>
  <si>
    <t>Green</t>
  </si>
  <si>
    <t>Automatically drawn from the other worksheets</t>
  </si>
  <si>
    <t>Blue</t>
  </si>
  <si>
    <t>Automatic calculations</t>
  </si>
  <si>
    <t>Rose</t>
  </si>
  <si>
    <t>Final Calculation Results</t>
  </si>
  <si>
    <t>Note to the user:  Calculation formulas and descriptions are provided in the "Calculation Description" worksheet.</t>
  </si>
  <si>
    <t>Reserve Project ID</t>
  </si>
  <si>
    <t>Reporting Period Start Date</t>
  </si>
  <si>
    <t>Reporting Period End Date</t>
  </si>
  <si>
    <t>II.A.  Total Modeled Baseline Emissions</t>
  </si>
  <si>
    <t xml:space="preserve">II.A.i. Total Modeled Baseline Methane Emissions by Livestock Category (L) </t>
  </si>
  <si>
    <t>Livestock Category (L)</t>
  </si>
  <si>
    <r>
      <t>Total BE</t>
    </r>
    <r>
      <rPr>
        <b/>
        <vertAlign val="subscript"/>
        <sz val="10"/>
        <rFont val="Arial"/>
        <family val="2"/>
      </rPr>
      <t>CH4,L,y</t>
    </r>
    <r>
      <rPr>
        <b/>
        <sz val="10"/>
        <rFont val="Arial"/>
        <family val="2"/>
      </rPr>
      <t xml:space="preserve"> (MT)</t>
    </r>
  </si>
  <si>
    <r>
      <t>Total BE</t>
    </r>
    <r>
      <rPr>
        <b/>
        <vertAlign val="subscript"/>
        <sz val="10"/>
        <rFont val="Arial"/>
        <family val="2"/>
      </rPr>
      <t xml:space="preserve">CH4,L,y </t>
    </r>
    <r>
      <rPr>
        <b/>
        <sz val="10"/>
        <rFont val="Arial"/>
        <family val="2"/>
      </rPr>
      <t>(CO2e)</t>
    </r>
  </si>
  <si>
    <t>II.A.ii. Total Modeled Baseline Methane Emissions by Storage/Treatment Component (S)</t>
  </si>
  <si>
    <t>Storage Component (S)</t>
  </si>
  <si>
    <r>
      <t>Total BE</t>
    </r>
    <r>
      <rPr>
        <b/>
        <vertAlign val="subscript"/>
        <sz val="10"/>
        <rFont val="Arial"/>
        <family val="2"/>
      </rPr>
      <t xml:space="preserve">CH4,S,y </t>
    </r>
    <r>
      <rPr>
        <b/>
        <sz val="10"/>
        <rFont val="Arial"/>
        <family val="2"/>
      </rPr>
      <t>(MT)</t>
    </r>
  </si>
  <si>
    <r>
      <t>Total BE</t>
    </r>
    <r>
      <rPr>
        <b/>
        <vertAlign val="subscript"/>
        <sz val="10"/>
        <rFont val="Arial"/>
        <family val="2"/>
      </rPr>
      <t xml:space="preserve">CH4,S,y </t>
    </r>
    <r>
      <rPr>
        <b/>
        <sz val="10"/>
        <rFont val="Arial"/>
        <family val="2"/>
      </rPr>
      <t>(CO2e)</t>
    </r>
  </si>
  <si>
    <t>II.A.iii.  Total Modeled Baseline Methane Emissions</t>
  </si>
  <si>
    <r>
      <t>BE</t>
    </r>
    <r>
      <rPr>
        <b/>
        <vertAlign val="subscript"/>
        <sz val="10"/>
        <rFont val="Arial"/>
        <family val="2"/>
      </rPr>
      <t xml:space="preserve">CH4 </t>
    </r>
    <r>
      <rPr>
        <b/>
        <sz val="10"/>
        <rFont val="Arial"/>
        <family val="2"/>
      </rPr>
      <t>(MT) =</t>
    </r>
  </si>
  <si>
    <r>
      <t xml:space="preserve"> tonnes CH</t>
    </r>
    <r>
      <rPr>
        <b/>
        <vertAlign val="subscript"/>
        <sz val="10"/>
        <rFont val="Arial"/>
        <family val="2"/>
      </rPr>
      <t>4</t>
    </r>
    <r>
      <rPr>
        <b/>
        <sz val="10"/>
        <rFont val="Arial"/>
        <family val="2"/>
      </rPr>
      <t xml:space="preserve"> year</t>
    </r>
    <r>
      <rPr>
        <b/>
        <vertAlign val="superscript"/>
        <sz val="10"/>
        <rFont val="Arial"/>
        <family val="2"/>
      </rPr>
      <t>-1</t>
    </r>
  </si>
  <si>
    <r>
      <t>BE</t>
    </r>
    <r>
      <rPr>
        <b/>
        <vertAlign val="subscript"/>
        <sz val="10"/>
        <rFont val="Arial"/>
        <family val="2"/>
      </rPr>
      <t xml:space="preserve">CH4 </t>
    </r>
    <r>
      <rPr>
        <b/>
        <sz val="10"/>
        <rFont val="Arial"/>
        <family val="2"/>
      </rPr>
      <t>(CO</t>
    </r>
    <r>
      <rPr>
        <b/>
        <vertAlign val="subscript"/>
        <sz val="10"/>
        <rFont val="Arial"/>
        <family val="2"/>
      </rPr>
      <t>2</t>
    </r>
    <r>
      <rPr>
        <b/>
        <sz val="10"/>
        <rFont val="Arial"/>
        <family val="2"/>
      </rPr>
      <t xml:space="preserve">e) = </t>
    </r>
  </si>
  <si>
    <r>
      <t xml:space="preserve"> tonnes CO</t>
    </r>
    <r>
      <rPr>
        <b/>
        <vertAlign val="subscript"/>
        <sz val="10"/>
        <rFont val="Arial"/>
        <family val="2"/>
      </rPr>
      <t>2</t>
    </r>
    <r>
      <rPr>
        <b/>
        <sz val="10"/>
        <rFont val="Arial"/>
        <family val="2"/>
      </rPr>
      <t>e year</t>
    </r>
    <r>
      <rPr>
        <b/>
        <vertAlign val="superscript"/>
        <sz val="10"/>
        <rFont val="Arial"/>
        <family val="2"/>
      </rPr>
      <t>-1</t>
    </r>
  </si>
  <si>
    <r>
      <t>II.A.iv. Total Baseline Carbon Dioxide Emissions BE</t>
    </r>
    <r>
      <rPr>
        <b/>
        <vertAlign val="subscript"/>
        <sz val="10"/>
        <rFont val="Arial"/>
        <family val="2"/>
      </rPr>
      <t xml:space="preserve">CO2,MSC </t>
    </r>
    <r>
      <rPr>
        <b/>
        <sz val="10"/>
        <rFont val="Arial"/>
        <family val="2"/>
      </rPr>
      <t>(CO</t>
    </r>
    <r>
      <rPr>
        <b/>
        <vertAlign val="subscript"/>
        <sz val="10"/>
        <rFont val="Arial"/>
        <family val="2"/>
      </rPr>
      <t>2</t>
    </r>
    <r>
      <rPr>
        <b/>
        <sz val="10"/>
        <rFont val="Arial"/>
        <family val="2"/>
      </rPr>
      <t>e)</t>
    </r>
  </si>
  <si>
    <r>
      <t xml:space="preserve"> tonnes CO</t>
    </r>
    <r>
      <rPr>
        <b/>
        <vertAlign val="subscript"/>
        <sz val="10"/>
        <rFont val="Arial"/>
        <family val="2"/>
      </rPr>
      <t>2</t>
    </r>
    <r>
      <rPr>
        <b/>
        <sz val="10"/>
        <rFont val="Arial"/>
        <family val="2"/>
      </rPr>
      <t xml:space="preserve"> year</t>
    </r>
    <r>
      <rPr>
        <b/>
        <vertAlign val="superscript"/>
        <sz val="10"/>
        <rFont val="Arial"/>
        <family val="2"/>
      </rPr>
      <t>-1</t>
    </r>
  </si>
  <si>
    <t>II.B. Total Project Emissions</t>
  </si>
  <si>
    <t>II.B.i.  Project Methane Emissions from the BCS</t>
  </si>
  <si>
    <r>
      <t>CH</t>
    </r>
    <r>
      <rPr>
        <b/>
        <vertAlign val="subscript"/>
        <sz val="10"/>
        <rFont val="Arial"/>
        <family val="2"/>
      </rPr>
      <t>4</t>
    </r>
    <r>
      <rPr>
        <b/>
        <sz val="10"/>
        <rFont val="Arial"/>
        <family val="2"/>
      </rPr>
      <t xml:space="preserve">(BCS) (MT) = </t>
    </r>
  </si>
  <si>
    <r>
      <t>CH</t>
    </r>
    <r>
      <rPr>
        <b/>
        <vertAlign val="subscript"/>
        <sz val="10"/>
        <rFont val="Arial"/>
        <family val="2"/>
      </rPr>
      <t>4</t>
    </r>
    <r>
      <rPr>
        <b/>
        <sz val="10"/>
        <rFont val="Arial"/>
        <family val="2"/>
      </rPr>
      <t>(BCS) (CO</t>
    </r>
    <r>
      <rPr>
        <b/>
        <vertAlign val="subscript"/>
        <sz val="10"/>
        <rFont val="Arial"/>
        <family val="2"/>
      </rPr>
      <t>2</t>
    </r>
    <r>
      <rPr>
        <b/>
        <sz val="10"/>
        <rFont val="Arial"/>
        <family val="2"/>
      </rPr>
      <t>e)</t>
    </r>
  </si>
  <si>
    <t>IIB.ii. Methane Emissions from Venting Events</t>
  </si>
  <si>
    <r>
      <t>CH</t>
    </r>
    <r>
      <rPr>
        <b/>
        <vertAlign val="subscript"/>
        <sz val="10"/>
        <rFont val="Arial"/>
        <family val="2"/>
      </rPr>
      <t>4,vent,i</t>
    </r>
    <r>
      <rPr>
        <b/>
        <sz val="10"/>
        <rFont val="Arial"/>
        <family val="2"/>
      </rPr>
      <t xml:space="preserve"> (MT)</t>
    </r>
  </si>
  <si>
    <r>
      <t>CH</t>
    </r>
    <r>
      <rPr>
        <b/>
        <vertAlign val="subscript"/>
        <sz val="10"/>
        <rFont val="Arial"/>
        <family val="2"/>
      </rPr>
      <t>4,vent,i</t>
    </r>
    <r>
      <rPr>
        <b/>
        <sz val="10"/>
        <rFont val="Arial"/>
        <family val="2"/>
      </rPr>
      <t xml:space="preserve"> (CO</t>
    </r>
    <r>
      <rPr>
        <b/>
        <vertAlign val="subscript"/>
        <sz val="10"/>
        <rFont val="Arial"/>
        <family val="2"/>
      </rPr>
      <t>2</t>
    </r>
    <r>
      <rPr>
        <b/>
        <sz val="10"/>
        <rFont val="Arial"/>
        <family val="2"/>
      </rPr>
      <t>e)</t>
    </r>
  </si>
  <si>
    <t>II.B.iii. Project Methane Emissions from Effluent Treatment</t>
  </si>
  <si>
    <r>
      <t>CH</t>
    </r>
    <r>
      <rPr>
        <b/>
        <vertAlign val="subscript"/>
        <sz val="10"/>
        <rFont val="Arial"/>
        <family val="2"/>
      </rPr>
      <t>4</t>
    </r>
    <r>
      <rPr>
        <b/>
        <sz val="10"/>
        <rFont val="Arial"/>
        <family val="2"/>
      </rPr>
      <t>(EP) (MT) =</t>
    </r>
  </si>
  <si>
    <r>
      <t>CH</t>
    </r>
    <r>
      <rPr>
        <b/>
        <vertAlign val="subscript"/>
        <sz val="10"/>
        <rFont val="Arial"/>
        <family val="2"/>
      </rPr>
      <t>4</t>
    </r>
    <r>
      <rPr>
        <b/>
        <sz val="10"/>
        <rFont val="Arial"/>
        <family val="2"/>
      </rPr>
      <t>(EP) (CO</t>
    </r>
    <r>
      <rPr>
        <b/>
        <vertAlign val="subscript"/>
        <sz val="10"/>
        <rFont val="Arial"/>
        <family val="2"/>
      </rPr>
      <t>2</t>
    </r>
    <r>
      <rPr>
        <b/>
        <sz val="10"/>
        <rFont val="Arial"/>
        <family val="2"/>
      </rPr>
      <t>e)</t>
    </r>
  </si>
  <si>
    <t>II.B.iv.  Project Methane Emissions from Non-BCS-Related Sources</t>
  </si>
  <si>
    <r>
      <t>CH</t>
    </r>
    <r>
      <rPr>
        <b/>
        <vertAlign val="subscript"/>
        <sz val="10"/>
        <rFont val="Arial"/>
        <family val="2"/>
      </rPr>
      <t>4</t>
    </r>
    <r>
      <rPr>
        <b/>
        <sz val="10"/>
        <rFont val="Arial"/>
        <family val="2"/>
      </rPr>
      <t xml:space="preserve">(nonBCS sources) (MT) = </t>
    </r>
  </si>
  <si>
    <r>
      <t>CH</t>
    </r>
    <r>
      <rPr>
        <b/>
        <vertAlign val="subscript"/>
        <sz val="10"/>
        <rFont val="Arial"/>
        <family val="2"/>
      </rPr>
      <t>4</t>
    </r>
    <r>
      <rPr>
        <b/>
        <sz val="10"/>
        <rFont val="Arial"/>
        <family val="2"/>
      </rPr>
      <t>(nonBCS sources) (CO</t>
    </r>
    <r>
      <rPr>
        <b/>
        <vertAlign val="subscript"/>
        <sz val="10"/>
        <rFont val="Arial"/>
        <family val="2"/>
      </rPr>
      <t>2</t>
    </r>
    <r>
      <rPr>
        <b/>
        <sz val="10"/>
        <rFont val="Arial"/>
        <family val="2"/>
      </rPr>
      <t>e)</t>
    </r>
  </si>
  <si>
    <t>II.B.v.  Total Project Methane Emissions</t>
  </si>
  <si>
    <r>
      <t>PE</t>
    </r>
    <r>
      <rPr>
        <b/>
        <vertAlign val="subscript"/>
        <sz val="10"/>
        <rFont val="Arial"/>
        <family val="2"/>
      </rPr>
      <t xml:space="preserve">CH4 </t>
    </r>
    <r>
      <rPr>
        <b/>
        <sz val="10"/>
        <rFont val="Arial"/>
        <family val="2"/>
      </rPr>
      <t>(MT)</t>
    </r>
  </si>
  <si>
    <r>
      <t>PE</t>
    </r>
    <r>
      <rPr>
        <b/>
        <vertAlign val="subscript"/>
        <sz val="10"/>
        <rFont val="Arial"/>
        <family val="2"/>
      </rPr>
      <t>CH4</t>
    </r>
    <r>
      <rPr>
        <b/>
        <sz val="10"/>
        <rFont val="Arial"/>
        <family val="2"/>
      </rPr>
      <t>(CO</t>
    </r>
    <r>
      <rPr>
        <b/>
        <vertAlign val="subscript"/>
        <sz val="10"/>
        <rFont val="Arial"/>
        <family val="2"/>
      </rPr>
      <t>2</t>
    </r>
    <r>
      <rPr>
        <b/>
        <sz val="10"/>
        <rFont val="Arial"/>
        <family val="2"/>
      </rPr>
      <t xml:space="preserve">e) = </t>
    </r>
  </si>
  <si>
    <r>
      <t>II.B.vi. Total Project Carbon Dioxide Emissions PE</t>
    </r>
    <r>
      <rPr>
        <b/>
        <vertAlign val="subscript"/>
        <sz val="10"/>
        <rFont val="Arial"/>
        <family val="2"/>
      </rPr>
      <t xml:space="preserve">CO2,MSC </t>
    </r>
    <r>
      <rPr>
        <b/>
        <sz val="10"/>
        <rFont val="Arial"/>
        <family val="2"/>
      </rPr>
      <t>(CO</t>
    </r>
    <r>
      <rPr>
        <b/>
        <vertAlign val="subscript"/>
        <sz val="10"/>
        <rFont val="Arial"/>
        <family val="2"/>
      </rPr>
      <t>2</t>
    </r>
    <r>
      <rPr>
        <b/>
        <sz val="10"/>
        <rFont val="Arial"/>
        <family val="2"/>
      </rPr>
      <t>e)</t>
    </r>
  </si>
  <si>
    <r>
      <t>II.C. Net Increase in CO</t>
    </r>
    <r>
      <rPr>
        <b/>
        <u/>
        <vertAlign val="subscript"/>
        <sz val="12"/>
        <rFont val="Arial"/>
        <family val="2"/>
      </rPr>
      <t>2</t>
    </r>
    <r>
      <rPr>
        <b/>
        <u/>
        <sz val="12"/>
        <rFont val="Arial"/>
        <family val="2"/>
      </rPr>
      <t xml:space="preserve"> Emissions</t>
    </r>
  </si>
  <si>
    <r>
      <t>CO</t>
    </r>
    <r>
      <rPr>
        <b/>
        <vertAlign val="subscript"/>
        <sz val="10"/>
        <rFont val="Arial"/>
        <family val="2"/>
      </rPr>
      <t>2,net</t>
    </r>
  </si>
  <si>
    <r>
      <t>II.D. Total Emission Reductions (CH</t>
    </r>
    <r>
      <rPr>
        <b/>
        <u/>
        <vertAlign val="subscript"/>
        <sz val="12"/>
        <rFont val="Arial"/>
        <family val="2"/>
      </rPr>
      <t>4</t>
    </r>
    <r>
      <rPr>
        <b/>
        <u/>
        <sz val="12"/>
        <rFont val="Arial"/>
        <family val="2"/>
      </rPr>
      <t xml:space="preserve"> and CO</t>
    </r>
    <r>
      <rPr>
        <b/>
        <u/>
        <vertAlign val="subscript"/>
        <sz val="12"/>
        <rFont val="Arial"/>
        <family val="2"/>
      </rPr>
      <t>2</t>
    </r>
    <r>
      <rPr>
        <b/>
        <u/>
        <sz val="12"/>
        <rFont val="Arial"/>
        <family val="2"/>
      </rPr>
      <t>)</t>
    </r>
  </si>
  <si>
    <r>
      <t>ER</t>
    </r>
    <r>
      <rPr>
        <b/>
        <vertAlign val="subscript"/>
        <sz val="10"/>
        <rFont val="Arial"/>
        <family val="2"/>
      </rPr>
      <t>modeled</t>
    </r>
  </si>
  <si>
    <r>
      <t>ER</t>
    </r>
    <r>
      <rPr>
        <b/>
        <vertAlign val="subscript"/>
        <sz val="10"/>
        <rFont val="Arial"/>
        <family val="2"/>
      </rPr>
      <t>metered</t>
    </r>
  </si>
  <si>
    <t>Total Emission Reductions (ER)</t>
  </si>
  <si>
    <r>
      <t xml:space="preserve"> tonnes CO</t>
    </r>
    <r>
      <rPr>
        <b/>
        <vertAlign val="subscript"/>
        <sz val="10"/>
        <rFont val="Arial"/>
        <family val="2"/>
      </rPr>
      <t>2</t>
    </r>
    <r>
      <rPr>
        <b/>
        <sz val="10"/>
        <rFont val="Arial"/>
        <family val="2"/>
      </rPr>
      <t>e</t>
    </r>
  </si>
  <si>
    <t>(Calculated using the AR4 GWP values)</t>
  </si>
  <si>
    <t>User note/comments:</t>
  </si>
  <si>
    <t>Worksheet III:  Data Inputs for Baseline Emissions</t>
  </si>
  <si>
    <t>Bright Yellow</t>
  </si>
  <si>
    <t>Site specific values to be entered by user</t>
  </si>
  <si>
    <t>Automatically drawn from other cells</t>
  </si>
  <si>
    <t>Orange</t>
  </si>
  <si>
    <t>Default/lookup table values</t>
  </si>
  <si>
    <t>Gray</t>
  </si>
  <si>
    <t>Constants</t>
  </si>
  <si>
    <t>Pale Yellow</t>
  </si>
  <si>
    <t>User notes/comments</t>
  </si>
  <si>
    <t>Note to user:  Calculation formulas and descriptions are provided in the Worksheet XV.</t>
  </si>
  <si>
    <t>III.A.  General Information</t>
  </si>
  <si>
    <t>Enter the site-specific information in the yellow fields below.</t>
  </si>
  <si>
    <t>Name of Farm Operator</t>
  </si>
  <si>
    <t>State</t>
  </si>
  <si>
    <t>County</t>
  </si>
  <si>
    <r>
      <t>Average Annual Temperature (</t>
    </r>
    <r>
      <rPr>
        <vertAlign val="superscript"/>
        <sz val="10"/>
        <rFont val="Arial"/>
        <family val="2"/>
      </rPr>
      <t>o</t>
    </r>
    <r>
      <rPr>
        <sz val="10"/>
        <rFont val="Arial"/>
        <family val="2"/>
      </rPr>
      <t>C)</t>
    </r>
  </si>
  <si>
    <t>Digester system type</t>
  </si>
  <si>
    <t>During what month did the digester first receive eligible manure? (Leave blank if manure loading began prior to current year)</t>
  </si>
  <si>
    <t>Is this a "greenfield" project (no manure management existed prior to digester installation)?</t>
  </si>
  <si>
    <t>If yes, refer to Table B.10 for specific default baseline assumptions.</t>
  </si>
  <si>
    <t>Has VS from the prior reporting period been carried over to the current reporting period?</t>
  </si>
  <si>
    <t>III.B.  Average Monthly Temperatures</t>
  </si>
  <si>
    <r>
      <t xml:space="preserve">Enter the average ambient temperatures for each month below. </t>
    </r>
    <r>
      <rPr>
        <sz val="10"/>
        <color indexed="10"/>
        <rFont val="Arial"/>
        <family val="2"/>
      </rPr>
      <t xml:space="preserve"> </t>
    </r>
    <r>
      <rPr>
        <b/>
        <sz val="10"/>
        <color indexed="10"/>
        <rFont val="Arial"/>
        <family val="2"/>
      </rPr>
      <t>Put a 1 in column D for each month that you are reporting emission reductions, and put a 0 for each month you are not reporting</t>
    </r>
    <r>
      <rPr>
        <sz val="10"/>
        <color indexed="10"/>
        <rFont val="Arial"/>
        <family val="2"/>
      </rPr>
      <t xml:space="preserve">. </t>
    </r>
    <r>
      <rPr>
        <sz val="10"/>
        <rFont val="Arial"/>
        <family val="2"/>
      </rPr>
      <t xml:space="preserve"> If your reporting period begins or ends mid-month, or if you are missing biogas flow data during any month that you are reporting, enter the number of days (may be a fraction) in column F. </t>
    </r>
    <r>
      <rPr>
        <b/>
        <sz val="10"/>
        <color rgb="FFFF0000"/>
        <rFont val="Arial"/>
        <family val="2"/>
      </rPr>
      <t>This is not to be used for venting events.</t>
    </r>
  </si>
  <si>
    <t>Month</t>
  </si>
  <si>
    <r>
      <t>Average Temperature (</t>
    </r>
    <r>
      <rPr>
        <b/>
        <vertAlign val="superscript"/>
        <sz val="10"/>
        <rFont val="Arial"/>
        <family val="2"/>
      </rPr>
      <t>o</t>
    </r>
    <r>
      <rPr>
        <b/>
        <sz val="10"/>
        <rFont val="Arial"/>
        <family val="2"/>
      </rPr>
      <t>C)</t>
    </r>
  </si>
  <si>
    <t>Reporting This Month?
(1 for yes, 0 for no)</t>
  </si>
  <si>
    <t>Calendar Days</t>
  </si>
  <si>
    <r>
      <t>Days not reporting</t>
    </r>
    <r>
      <rPr>
        <sz val="10"/>
        <rFont val="Arial"/>
        <family val="2"/>
      </rPr>
      <t xml:space="preserve"> (due to missing biogas data or mid-month reporting period boundaries)</t>
    </r>
  </si>
  <si>
    <t>Reporting Days</t>
  </si>
  <si>
    <t>User Notes/comments</t>
  </si>
  <si>
    <t>Total # of Days Reporting</t>
  </si>
  <si>
    <t>III.C.  Livestock Categories</t>
  </si>
  <si>
    <t>List the site-specific livestock categories and the corresponding average mass in the yellow fields below.  List the livestock in order of dominance (i.e. the category with the largest population should be listed first).  Site-specific livestock average mass (MassL) should be used.  If site-specific data is not available, use the Typical Average Mass (TAM) numbers from Worksheet XIV that most closely correspond to the year being reported.</t>
  </si>
  <si>
    <t>Livestock Category(s)</t>
  </si>
  <si>
    <t>Available Livestock Categories</t>
  </si>
  <si>
    <t>Unique Identifier</t>
  </si>
  <si>
    <r>
      <t>Mass</t>
    </r>
    <r>
      <rPr>
        <b/>
        <vertAlign val="subscript"/>
        <sz val="10"/>
        <rFont val="Arial"/>
        <family val="2"/>
      </rPr>
      <t xml:space="preserve">L </t>
    </r>
    <r>
      <rPr>
        <b/>
        <sz val="10"/>
        <rFont val="Arial"/>
        <family val="2"/>
      </rPr>
      <t>(kg)</t>
    </r>
  </si>
  <si>
    <t>Dairy cows (on feed)</t>
  </si>
  <si>
    <t>Population 1</t>
  </si>
  <si>
    <t>Heifers (on feed)</t>
  </si>
  <si>
    <t>Non-milking dairy cows (on feed)</t>
  </si>
  <si>
    <t>Population 2</t>
  </si>
  <si>
    <t>Population 3</t>
  </si>
  <si>
    <t>Bulls (grazing)</t>
  </si>
  <si>
    <t>Population 4</t>
  </si>
  <si>
    <t>Calves (grazing)</t>
  </si>
  <si>
    <t>Population 5</t>
  </si>
  <si>
    <t>Heifers (grazing)</t>
  </si>
  <si>
    <t>Population 6</t>
  </si>
  <si>
    <t>Dairy cows (grazing)</t>
  </si>
  <si>
    <t>Population 7</t>
  </si>
  <si>
    <t>Nursery swine</t>
  </si>
  <si>
    <t>Population 8</t>
  </si>
  <si>
    <t>Grow/finish swine</t>
  </si>
  <si>
    <t>Population 9</t>
  </si>
  <si>
    <t>Breeding swine</t>
  </si>
  <si>
    <t>Population 10</t>
  </si>
  <si>
    <t>User Notes/Comments:</t>
  </si>
  <si>
    <t>III.D.  Livestock Population</t>
  </si>
  <si>
    <r>
      <t xml:space="preserve">Enter the monthly population for each livestock category listed below (PL). </t>
    </r>
    <r>
      <rPr>
        <sz val="10"/>
        <color indexed="10"/>
        <rFont val="Arial"/>
        <family val="2"/>
      </rPr>
      <t xml:space="preserve"> If it is the first year of digester operation, fill in only the population data beginning with the month that the digester became operational. If reporting reductions for a sub-annual period and it is not the first year of operation, fill in population data for all previous months up until the end of the last month being reported, leave the remaing months blank.  </t>
    </r>
  </si>
  <si>
    <t>Average Monthly Population:</t>
  </si>
  <si>
    <t>III.E. Daily Volatile Solids for All Livestock Categories from Lookup Tables (Table XIV.B and/or XIV.C)</t>
  </si>
  <si>
    <t>Complete the corresponding volatile solid excretion (VS) field (column C) for each dominant livestock category.  Use the default VS values provided in Worksheet XIV, Tables XIV.B and XIV.C.  The VS values entered in column C will be automatically converted from units of (kg/day/1000kg) to (kg/day/animal) in column D.</t>
  </si>
  <si>
    <r>
      <t xml:space="preserve">Livestock Category </t>
    </r>
    <r>
      <rPr>
        <b/>
        <i/>
        <sz val="10"/>
        <rFont val="Arial"/>
        <family val="2"/>
      </rPr>
      <t>L</t>
    </r>
  </si>
  <si>
    <r>
      <t>VS</t>
    </r>
    <r>
      <rPr>
        <b/>
        <vertAlign val="subscript"/>
        <sz val="10"/>
        <rFont val="Arial"/>
        <family val="2"/>
      </rPr>
      <t xml:space="preserve">L
</t>
    </r>
    <r>
      <rPr>
        <b/>
        <sz val="10"/>
        <rFont val="Arial"/>
        <family val="2"/>
      </rPr>
      <t>(kg/day/1000 kg mass)</t>
    </r>
  </si>
  <si>
    <r>
      <t>VS</t>
    </r>
    <r>
      <rPr>
        <b/>
        <vertAlign val="subscript"/>
        <sz val="10"/>
        <rFont val="Arial"/>
        <family val="2"/>
      </rPr>
      <t xml:space="preserve">L
</t>
    </r>
    <r>
      <rPr>
        <b/>
        <sz val="10"/>
        <rFont val="Arial"/>
        <family val="2"/>
      </rPr>
      <t>(kg/animal/day)</t>
    </r>
  </si>
  <si>
    <t>III.F.  Maximum Methane Potential by Livestock Category</t>
  </si>
  <si>
    <r>
      <t>The default maximum methane potential (B</t>
    </r>
    <r>
      <rPr>
        <vertAlign val="subscript"/>
        <sz val="10"/>
        <rFont val="Arial"/>
        <family val="2"/>
      </rPr>
      <t>0</t>
    </r>
    <r>
      <rPr>
        <sz val="10"/>
        <rFont val="Arial"/>
        <family val="2"/>
      </rPr>
      <t>) values for each livestock category below are drawn automaticallly from  Worksheet XIV, Table XIV.B. Site-specific values (determined per protocol Section 6.1) may be entered to override the default value.</t>
    </r>
  </si>
  <si>
    <r>
      <t>Default B</t>
    </r>
    <r>
      <rPr>
        <b/>
        <vertAlign val="subscript"/>
        <sz val="10"/>
        <rFont val="Arial"/>
        <family val="2"/>
      </rPr>
      <t xml:space="preserve">o,L
</t>
    </r>
    <r>
      <rPr>
        <b/>
        <sz val="10"/>
        <rFont val="Arial"/>
        <family val="2"/>
      </rPr>
      <t>(m</t>
    </r>
    <r>
      <rPr>
        <b/>
        <vertAlign val="superscript"/>
        <sz val="10"/>
        <rFont val="Arial"/>
        <family val="2"/>
      </rPr>
      <t>3</t>
    </r>
    <r>
      <rPr>
        <b/>
        <sz val="10"/>
        <rFont val="Arial"/>
        <family val="2"/>
      </rPr>
      <t xml:space="preserve"> CH</t>
    </r>
    <r>
      <rPr>
        <b/>
        <vertAlign val="subscript"/>
        <sz val="10"/>
        <rFont val="Arial"/>
        <family val="2"/>
      </rPr>
      <t>4</t>
    </r>
    <r>
      <rPr>
        <b/>
        <sz val="10"/>
        <rFont val="Arial"/>
        <family val="2"/>
      </rPr>
      <t>/kg VS dry matter)</t>
    </r>
  </si>
  <si>
    <r>
      <t>User-Specified B</t>
    </r>
    <r>
      <rPr>
        <b/>
        <vertAlign val="subscript"/>
        <sz val="10"/>
        <rFont val="Arial"/>
        <family val="2"/>
      </rPr>
      <t xml:space="preserve">0,L
</t>
    </r>
    <r>
      <rPr>
        <i/>
        <sz val="10"/>
        <rFont val="Arial"/>
        <family val="2"/>
      </rPr>
      <t>(optional, add details in comment box)</t>
    </r>
  </si>
  <si>
    <t>III.G.  Manure Storage and Treatment System Components for the Baseline Calculation. What Systems Were in Place Pre-Project?</t>
  </si>
  <si>
    <t>Enter the on-site storage components in the yellow fields.  Refer to Worksheet XIV, Table XIV.A for the storage/treatment component system descriptions.  Storage/treatment component categories that are not applicable should be left blank.  If solids separation occurred prior to placement in the lagoon, then the storage/treatment system for the removed solids must also be selected.</t>
  </si>
  <si>
    <t>Anaerobic Storage/Treatment System(s)</t>
  </si>
  <si>
    <t>Other Storage/Treatment Systems</t>
  </si>
  <si>
    <t>List of Manure Management Storage/Treatment Systems</t>
  </si>
  <si>
    <t>Liquid/Slurry w/natural crust cover</t>
  </si>
  <si>
    <t>Anaerobic</t>
  </si>
  <si>
    <t>Non-anaerobic (Other)</t>
  </si>
  <si>
    <t>Uncovered anaerobic lagoon(s)</t>
  </si>
  <si>
    <t>Pasture/Range/Paddock</t>
  </si>
  <si>
    <t>Liquid/Slurry uncovered</t>
  </si>
  <si>
    <t>Daily spread</t>
  </si>
  <si>
    <t>Solid storage</t>
  </si>
  <si>
    <t>Dry lot</t>
  </si>
  <si>
    <t>Pit storage below animal confinements (&lt;1 month)</t>
  </si>
  <si>
    <t>Pit storage below animal confinements (&gt;1 month)</t>
  </si>
  <si>
    <t>Cattle and Swine deep bedding (&lt;1 month)</t>
  </si>
  <si>
    <t>Cattle and Swine deep bedding (&gt;1 month)</t>
  </si>
  <si>
    <t>Composting - in-vessel or static pile</t>
  </si>
  <si>
    <t>Composting - passive or intensive windrow</t>
  </si>
  <si>
    <t>Aerobic treatment</t>
  </si>
  <si>
    <t>Burned for fuel</t>
  </si>
  <si>
    <t>III.H.  How Frequently is the Anaerobic Storage/Treatment System Completely Emptied and Cleaned of Sludge in the Baseline Scenario (Per Year), and Typically During Which Month(s)?</t>
  </si>
  <si>
    <t>Column G of Worksheet V will be automatically zeroed-out following all months in which the anaerobic system is completely drained and accumulated sludge is removed. If there are multiple systems with different cleaning schedules (e.g. two lagoons, but only one is cleaned out each year), the VS would be reduced by a fraction, rather than being fully zeroed-out. See Livestock Protocol v4.0, Section 5.2.</t>
  </si>
  <si>
    <t>Yes</t>
  </si>
  <si>
    <t>Retention Time Less than 30 days?</t>
  </si>
  <si>
    <t>No</t>
  </si>
  <si>
    <t>Month of System Cleaning</t>
  </si>
  <si>
    <r>
      <t>Fraction of Total System Cleaned</t>
    </r>
    <r>
      <rPr>
        <i/>
        <sz val="10"/>
        <rFont val="Arial"/>
        <family val="2"/>
      </rPr>
      <t xml:space="preserve"> (enter 1 for a full cleaning)</t>
    </r>
  </si>
  <si>
    <t>Fraction of Total System Cleaned (enter 1 for a full cleaning)</t>
  </si>
  <si>
    <t xml:space="preserve">III.I.  Methane Conversion Factor (MCF) for "Other Storage/Treatment Systems" </t>
  </si>
  <si>
    <t>Enter the MCF value for the non-lagoon and storage pond system components in the orange fields.  Refer to Worksheet XIV, Table XIV.D, for the default methane conversion factors by manure management system components and yearly average temperature  storage components. Categories that are not applicable should be left blank.</t>
  </si>
  <si>
    <t>MCF (fraction)</t>
  </si>
  <si>
    <t>Note to user: Methane from the anaerobic lagoon and/or storage pond (liquid slurry system) is calculated in Worksheet V.</t>
  </si>
  <si>
    <r>
      <t>III.J.  Fraction of Manure from Livestock Category L that is Stored/Treated in System S (MS</t>
    </r>
    <r>
      <rPr>
        <b/>
        <vertAlign val="subscript"/>
        <sz val="12"/>
        <rFont val="Arial"/>
        <family val="2"/>
      </rPr>
      <t>l,s</t>
    </r>
    <r>
      <rPr>
        <b/>
        <sz val="12"/>
        <rFont val="Arial"/>
        <family val="2"/>
      </rPr>
      <t>) for the Baseline Calculation. Where Did the Manure Go Pre-Project?</t>
    </r>
  </si>
  <si>
    <r>
      <t xml:space="preserve">If solids separation occurred prior to the placement of manure in the baseline lagoon, then the fraction of VS that was removed through the separator or settling ponds must be estimated and subtracted from the total manure fraction sent to the baseline lagoon.  The fraction of VS that was removed must be assumed to go to its own treatment/storage system. </t>
    </r>
    <r>
      <rPr>
        <b/>
        <sz val="10"/>
        <color indexed="10"/>
        <rFont val="Arial"/>
        <family val="2"/>
      </rPr>
      <t>Projects that employ solids separation may use the default values in Table B.9.</t>
    </r>
    <r>
      <rPr>
        <sz val="10"/>
        <color indexed="10"/>
        <rFont val="Arial"/>
        <family val="2"/>
      </rPr>
      <t xml:space="preserve"> </t>
    </r>
    <r>
      <rPr>
        <b/>
        <sz val="10"/>
        <color indexed="10"/>
        <rFont val="Arial"/>
        <family val="2"/>
      </rPr>
      <t>Greenfield projects must refer to Table B.10 for default baseline management assumptions.</t>
    </r>
  </si>
  <si>
    <t>Anaerobic Storage/Treatment System</t>
  </si>
  <si>
    <t>Non-Anaerobic Storage/Treatment System</t>
  </si>
  <si>
    <t>Data check (must equal 1)</t>
  </si>
  <si>
    <t>III.K. Baseline Carbon Dioxide Emissions Inputs [Protocol - Equation 5.11] Calculated in Worksheet XIII</t>
  </si>
  <si>
    <t>Note to user:  Calculation formulas and descriptions are provided in Worksheet XV.</t>
  </si>
  <si>
    <r>
      <t>III.K.i. Baseline Carbon Dioxide Emission Inputs for Mobile Fossil Fuel Combustion: CO</t>
    </r>
    <r>
      <rPr>
        <b/>
        <vertAlign val="subscript"/>
        <sz val="10"/>
        <rFont val="Arial"/>
        <family val="2"/>
      </rPr>
      <t>2,MSC</t>
    </r>
  </si>
  <si>
    <t>Enter the source, fuel type, annual fuel quantity (QF), and fuel-specific emission factors (EFC02) for all pre-project (baseline) mobile, on-site combustion sources. Refer to Worksheet XIV, Table XIV.E for the default EFC02 values for mobile sources.</t>
  </si>
  <si>
    <t>Mobile Source</t>
  </si>
  <si>
    <t>Common Fuel Types (c)</t>
  </si>
  <si>
    <r>
      <t>QF</t>
    </r>
    <r>
      <rPr>
        <b/>
        <vertAlign val="subscript"/>
        <sz val="10"/>
        <rFont val="Arial"/>
        <family val="2"/>
      </rPr>
      <t xml:space="preserve">c </t>
    </r>
    <r>
      <rPr>
        <b/>
        <sz val="10"/>
        <rFont val="Arial"/>
        <family val="2"/>
      </rPr>
      <t>(gallon/yr)</t>
    </r>
  </si>
  <si>
    <r>
      <t>EF</t>
    </r>
    <r>
      <rPr>
        <b/>
        <vertAlign val="subscript"/>
        <sz val="10"/>
        <rFont val="Arial"/>
        <family val="2"/>
      </rPr>
      <t xml:space="preserve">CO2,f </t>
    </r>
    <r>
      <rPr>
        <b/>
        <sz val="10"/>
        <rFont val="Arial"/>
        <family val="2"/>
      </rPr>
      <t>(kgCO</t>
    </r>
    <r>
      <rPr>
        <b/>
        <vertAlign val="subscript"/>
        <sz val="10"/>
        <rFont val="Arial"/>
        <family val="2"/>
      </rPr>
      <t>2</t>
    </r>
    <r>
      <rPr>
        <b/>
        <sz val="10"/>
        <rFont val="Arial"/>
        <family val="2"/>
      </rPr>
      <t>/gallon)</t>
    </r>
  </si>
  <si>
    <t>Common Fuel Types</t>
  </si>
  <si>
    <t>Motor Gasoline</t>
  </si>
  <si>
    <t>Distillate Fuel Oil (#1, 2 &amp; 4) (Diesel)</t>
  </si>
  <si>
    <t xml:space="preserve">Propane </t>
  </si>
  <si>
    <t>Natural Gas (Weighted U.S. Average)</t>
  </si>
  <si>
    <t>Other Fuel Types (c)</t>
  </si>
  <si>
    <t>Kerosene</t>
  </si>
  <si>
    <t>LPG (average for fuel use)</t>
  </si>
  <si>
    <r>
      <t>III.K.ii.  Baseline Carbon Dioxide Emission Inputs for Stationary Fossil Fuel Combustion: CO</t>
    </r>
    <r>
      <rPr>
        <b/>
        <vertAlign val="subscript"/>
        <sz val="10"/>
        <rFont val="Arial"/>
        <family val="2"/>
      </rPr>
      <t>2,MSC</t>
    </r>
  </si>
  <si>
    <t>Enter the source, fuel type, annual fuel quantity, and fuel-specific emission factors for all pre-project (baseline) stationary, on-site combustion sources. Refer to Worksheet XIV, Table XIV.E for the default EFC02 values for stationary sources.</t>
  </si>
  <si>
    <t>Stationary Source</t>
  </si>
  <si>
    <r>
      <t>QF</t>
    </r>
    <r>
      <rPr>
        <b/>
        <vertAlign val="subscript"/>
        <sz val="10"/>
        <rFont val="Arial"/>
        <family val="2"/>
      </rPr>
      <t xml:space="preserve">c </t>
    </r>
    <r>
      <rPr>
        <b/>
        <sz val="10"/>
        <rFont val="Arial"/>
        <family val="2"/>
      </rPr>
      <t>(MMBTU/yr)</t>
    </r>
  </si>
  <si>
    <r>
      <t>EF</t>
    </r>
    <r>
      <rPr>
        <b/>
        <vertAlign val="subscript"/>
        <sz val="10"/>
        <rFont val="Arial"/>
        <family val="2"/>
      </rPr>
      <t xml:space="preserve">CO2,f </t>
    </r>
    <r>
      <rPr>
        <b/>
        <sz val="10"/>
        <rFont val="Arial"/>
        <family val="2"/>
      </rPr>
      <t>(kgCO</t>
    </r>
    <r>
      <rPr>
        <b/>
        <vertAlign val="subscript"/>
        <sz val="10"/>
        <rFont val="Arial"/>
        <family val="2"/>
      </rPr>
      <t>2</t>
    </r>
    <r>
      <rPr>
        <b/>
        <sz val="10"/>
        <rFont val="Arial"/>
        <family val="2"/>
      </rPr>
      <t>/MMBTU)</t>
    </r>
  </si>
  <si>
    <t>Other Fuel Types(c)</t>
  </si>
  <si>
    <r>
      <t>III.K.iii.  Baseline Carbon Dioxide Emission Inputs for Electricity Usage: CO</t>
    </r>
    <r>
      <rPr>
        <b/>
        <vertAlign val="subscript"/>
        <sz val="10"/>
        <rFont val="Arial"/>
        <family val="2"/>
      </rPr>
      <t>2,MSC</t>
    </r>
  </si>
  <si>
    <t>Enter the amount of electricity consumed in the baseline scenario only for sources directly affected by the project activity.  Enter 0 if there are no relevant sources of electricity consumption.  As of May 3, 2011, projects should no longer refer to the eGRID tables in Appendix B of the protocol and should instead refer to the U.S. EPA website and use the emission factor from the year that that the electricity was consumed (or the most current factor if the reporting year's emission factors have not been released).  Projects shall use the annual total output emission rates for the subregion where the project is located, not the annual non-baseload output emission rates.</t>
  </si>
  <si>
    <t>eGRID Subregion</t>
  </si>
  <si>
    <t>eGRID Edition</t>
  </si>
  <si>
    <r>
      <t>QE</t>
    </r>
    <r>
      <rPr>
        <b/>
        <vertAlign val="subscript"/>
        <sz val="10"/>
        <rFont val="Arial"/>
        <family val="2"/>
      </rPr>
      <t>c</t>
    </r>
    <r>
      <rPr>
        <b/>
        <sz val="10"/>
        <rFont val="Arial"/>
        <family val="2"/>
      </rPr>
      <t xml:space="preserve"> (MWh/yr)</t>
    </r>
  </si>
  <si>
    <r>
      <t>EF</t>
    </r>
    <r>
      <rPr>
        <b/>
        <vertAlign val="subscript"/>
        <sz val="10"/>
        <rFont val="Arial"/>
        <family val="2"/>
      </rPr>
      <t>CO2,e</t>
    </r>
    <r>
      <rPr>
        <b/>
        <sz val="10"/>
        <rFont val="Arial"/>
        <family val="2"/>
      </rPr>
      <t xml:space="preserve"> (lbCO</t>
    </r>
    <r>
      <rPr>
        <b/>
        <vertAlign val="subscript"/>
        <sz val="10"/>
        <rFont val="Arial"/>
        <family val="2"/>
      </rPr>
      <t>2</t>
    </r>
    <r>
      <rPr>
        <b/>
        <sz val="10"/>
        <rFont val="Arial"/>
        <family val="2"/>
      </rPr>
      <t>e/MWh)</t>
    </r>
  </si>
  <si>
    <t>Updated eGRID information is available here: http://www.epa.gov/cleanenergy/energy-resources/egrid/index.html</t>
  </si>
  <si>
    <t>Identify your eGRID subregion here: http://www.epa.gov/cleanenergy/energy-and-you/how-clean.html</t>
  </si>
  <si>
    <t>Worksheet IV:  Data Inputs for Project Emissions</t>
  </si>
  <si>
    <t>Yellow</t>
  </si>
  <si>
    <t>IV.A.  Biogas Control System Inputs [Protocol - Equation 5.6] Calculated in Worksheet VIII</t>
  </si>
  <si>
    <r>
      <t xml:space="preserve">To ensure that the Biogas control system data is input correctly, </t>
    </r>
    <r>
      <rPr>
        <b/>
        <u/>
        <sz val="10"/>
        <rFont val="Arial"/>
        <family val="2"/>
      </rPr>
      <t>carefully</t>
    </r>
    <r>
      <rPr>
        <b/>
        <sz val="10"/>
        <rFont val="Arial"/>
        <family val="2"/>
      </rPr>
      <t xml:space="preserve"> complete the sections below as instructed.</t>
    </r>
  </si>
  <si>
    <t>IV.A.i:  Monthly Collection Efficiency and Methane Destruction Efficiency</t>
  </si>
  <si>
    <t xml:space="preserve"> </t>
  </si>
  <si>
    <t>Enter monthly BCS collection efficiency (BCE) and the methane destruction efficiency (BDE)  as decimals.  The BCE defaults to 95% for fully covered lagoons and 98% for enclosed vessels per the Livestock Project Protocol V4.0. If the digester system requires an alternative BCE, it should be entered in column D (leave blank if using default). See Table B.4 for default values.</t>
  </si>
  <si>
    <t>Default BCE (fraction)</t>
  </si>
  <si>
    <t>User-specified BCE (fraction)</t>
  </si>
  <si>
    <r>
      <t>BDE (fraction)</t>
    </r>
    <r>
      <rPr>
        <b/>
        <sz val="10"/>
        <color indexed="10"/>
        <rFont val="Arial"/>
        <family val="2"/>
      </rPr>
      <t>*</t>
    </r>
  </si>
  <si>
    <r>
      <t xml:space="preserve">* </t>
    </r>
    <r>
      <rPr>
        <sz val="10"/>
        <rFont val="Arial"/>
        <family val="2"/>
      </rPr>
      <t>Important guidance for determining monthly BDE:  The monthly BDE value input in column E above should be the monthly weighted average of all combustion devices in operation during the month (see Equation 5.6 for guidance).  Additionally, in the event that the combustion device(s) is inoperable for a period during the month, the monthly average BDE should be adjusted accordingly (see the Livestock Project Protocol, Section 6 Project Monitoring, for guidance).  Describe any adjustments made in the comment box on the right.</t>
    </r>
  </si>
  <si>
    <t>IV.A.ii:  Metering System</t>
  </si>
  <si>
    <t>Enter the appropriate response in cell D35 then follow the directions below.</t>
  </si>
  <si>
    <t>Does your monitoring system continuously monitor methane concentration? Select Yes or No in cell D35.</t>
  </si>
  <si>
    <t>If yes, skip to IV.A.iv of this section.  If no, complete only IV.A.iii.</t>
  </si>
  <si>
    <t>IV.A.iii  Data Input for Continuous Flow Data with Periodic Methane Concentration Measurements</t>
  </si>
  <si>
    <t>Answer the question below and enter the appropriate response in cell D42.  Then enter the monthly data in the table below.</t>
  </si>
  <si>
    <r>
      <t xml:space="preserve">Does the continuous flow meter internally correct the temperature and pressure of the biogas readings to </t>
    </r>
    <r>
      <rPr>
        <b/>
        <sz val="10"/>
        <color indexed="10"/>
        <rFont val="Arial"/>
        <family val="2"/>
      </rPr>
      <t xml:space="preserve">60°F </t>
    </r>
    <r>
      <rPr>
        <sz val="10"/>
        <color indexed="10"/>
        <rFont val="Arial"/>
        <family val="2"/>
      </rPr>
      <t>and</t>
    </r>
    <r>
      <rPr>
        <b/>
        <sz val="10"/>
        <color indexed="10"/>
        <rFont val="Arial"/>
        <family val="2"/>
      </rPr>
      <t xml:space="preserve"> 1 atm</t>
    </r>
    <r>
      <rPr>
        <sz val="10"/>
        <color indexed="10"/>
        <rFont val="Arial"/>
        <family val="2"/>
      </rPr>
      <t>? Select Yes or No in cell D42.</t>
    </r>
  </si>
  <si>
    <r>
      <rPr>
        <sz val="10"/>
        <color indexed="10"/>
        <rFont val="Arial"/>
        <family val="2"/>
      </rPr>
      <t xml:space="preserve">If your meter internally corrects to different values, use the values of your meter to fill in columns C and D below. </t>
    </r>
    <r>
      <rPr>
        <b/>
        <sz val="10"/>
        <color indexed="10"/>
        <rFont val="Arial"/>
        <family val="2"/>
      </rPr>
      <t>The F (scf/month) and CH</t>
    </r>
    <r>
      <rPr>
        <b/>
        <vertAlign val="subscript"/>
        <sz val="10"/>
        <color indexed="10"/>
        <rFont val="Arial"/>
        <family val="2"/>
      </rPr>
      <t>4,conc</t>
    </r>
    <r>
      <rPr>
        <b/>
        <sz val="10"/>
        <color indexed="10"/>
        <rFont val="Arial"/>
        <family val="2"/>
      </rPr>
      <t xml:space="preserve"> (%) data must be filled in for both scenarios.</t>
    </r>
  </si>
  <si>
    <r>
      <t>Temperature  (</t>
    </r>
    <r>
      <rPr>
        <b/>
        <vertAlign val="superscript"/>
        <sz val="10"/>
        <rFont val="Arial"/>
        <family val="2"/>
      </rPr>
      <t>o</t>
    </r>
    <r>
      <rPr>
        <b/>
        <sz val="10"/>
        <rFont val="Arial"/>
        <family val="2"/>
      </rPr>
      <t>R)*</t>
    </r>
  </si>
  <si>
    <t>Pressure (atm)</t>
  </si>
  <si>
    <t>F (scf/month)</t>
  </si>
  <si>
    <r>
      <t>CH</t>
    </r>
    <r>
      <rPr>
        <b/>
        <vertAlign val="subscript"/>
        <sz val="10"/>
        <rFont val="Arial"/>
        <family val="2"/>
      </rPr>
      <t>4,conc</t>
    </r>
    <r>
      <rPr>
        <b/>
        <sz val="10"/>
        <rFont val="Arial"/>
        <family val="2"/>
      </rPr>
      <t xml:space="preserve"> (fraction)</t>
    </r>
  </si>
  <si>
    <r>
      <t xml:space="preserve">* </t>
    </r>
    <r>
      <rPr>
        <vertAlign val="superscript"/>
        <sz val="10"/>
        <rFont val="Arial"/>
        <family val="2"/>
      </rPr>
      <t>o</t>
    </r>
    <r>
      <rPr>
        <sz val="10"/>
        <rFont val="Arial"/>
        <family val="2"/>
      </rPr>
      <t xml:space="preserve">R = Rankine = </t>
    </r>
    <r>
      <rPr>
        <vertAlign val="superscript"/>
        <sz val="10"/>
        <rFont val="Arial"/>
        <family val="2"/>
      </rPr>
      <t>o</t>
    </r>
    <r>
      <rPr>
        <sz val="10"/>
        <rFont val="Arial"/>
        <family val="2"/>
      </rPr>
      <t>F + 459.67</t>
    </r>
  </si>
  <si>
    <t>IV.A.iv:  Data Inputs for Continuous Flow and Continuous Methane Concentration Metering</t>
  </si>
  <si>
    <t>This section should be completed only if a "Yes" was entered in cell D35.  If a "No" was entered in cell D35, complete section IV.A.iii only.</t>
  </si>
  <si>
    <r>
      <t>If the flow and methane concentration are continuously metered (see section IV.A.ii), aggregate the monthly metered methane (CH</t>
    </r>
    <r>
      <rPr>
        <vertAlign val="subscript"/>
        <sz val="10"/>
        <rFont val="Arial"/>
        <family val="2"/>
      </rPr>
      <t>4,meter</t>
    </r>
    <r>
      <rPr>
        <sz val="10"/>
        <rFont val="Arial"/>
        <family val="2"/>
      </rPr>
      <t>) per Equation 5.6 and enter the monthly values below.</t>
    </r>
  </si>
  <si>
    <r>
      <t>CH</t>
    </r>
    <r>
      <rPr>
        <b/>
        <vertAlign val="subscript"/>
        <sz val="10"/>
        <rFont val="Arial"/>
        <family val="2"/>
      </rPr>
      <t>4,meter</t>
    </r>
    <r>
      <rPr>
        <b/>
        <sz val="10"/>
        <rFont val="Arial"/>
        <family val="2"/>
      </rPr>
      <t>(tCH</t>
    </r>
    <r>
      <rPr>
        <b/>
        <vertAlign val="subscript"/>
        <sz val="10"/>
        <rFont val="Arial"/>
        <family val="2"/>
      </rPr>
      <t>4</t>
    </r>
    <r>
      <rPr>
        <b/>
        <sz val="10"/>
        <rFont val="Arial"/>
        <family val="2"/>
      </rPr>
      <t>/month)</t>
    </r>
  </si>
  <si>
    <t>IV.B.  Input for Project Methane Emissions from Venting Events [Protocol - Equation 5.7] Calculated in Worksheet IX</t>
  </si>
  <si>
    <r>
      <t>If the BCS consists of multiple digester tanks or covered lagoons, the project only needs quantify the maximum storage (MS</t>
    </r>
    <r>
      <rPr>
        <vertAlign val="subscript"/>
        <sz val="10"/>
        <rFont val="Arial"/>
        <family val="2"/>
      </rPr>
      <t>BCS</t>
    </r>
    <r>
      <rPr>
        <sz val="10"/>
        <rFont val="Arial"/>
        <family val="2"/>
      </rPr>
      <t>) and biogas flow (F</t>
    </r>
    <r>
      <rPr>
        <vertAlign val="subscript"/>
        <sz val="10"/>
        <rFont val="Arial"/>
        <family val="2"/>
      </rPr>
      <t>pw</t>
    </r>
    <r>
      <rPr>
        <sz val="10"/>
        <rFont val="Arial"/>
        <family val="2"/>
      </rPr>
      <t>) of the component(s) of the BCS that experienced the venting event. "t" represents the number of days of the month that biogas is venting uncontrolled from the BCS system (can be a fraction).</t>
    </r>
  </si>
  <si>
    <r>
      <t>MS</t>
    </r>
    <r>
      <rPr>
        <b/>
        <vertAlign val="subscript"/>
        <sz val="10"/>
        <rFont val="Arial"/>
        <family val="2"/>
      </rPr>
      <t>BCS</t>
    </r>
    <r>
      <rPr>
        <b/>
        <sz val="10"/>
        <rFont val="Arial"/>
        <family val="2"/>
      </rPr>
      <t xml:space="preserve"> (scf)</t>
    </r>
  </si>
  <si>
    <r>
      <t>F</t>
    </r>
    <r>
      <rPr>
        <b/>
        <vertAlign val="subscript"/>
        <sz val="10"/>
        <rFont val="Arial"/>
        <family val="2"/>
      </rPr>
      <t>pw</t>
    </r>
    <r>
      <rPr>
        <b/>
        <sz val="10"/>
        <rFont val="Arial"/>
        <family val="2"/>
      </rPr>
      <t xml:space="preserve"> (scf/day)</t>
    </r>
  </si>
  <si>
    <t>t (days)</t>
  </si>
  <si>
    <t>IV.C.  Input for Project Methane Emissions from the BCS Effluent Pond [Protocol - Equation 5.8] Calculated in Worksheet X</t>
  </si>
  <si>
    <r>
      <t>The VS</t>
    </r>
    <r>
      <rPr>
        <vertAlign val="subscript"/>
        <sz val="10"/>
        <rFont val="Arial"/>
        <family val="2"/>
      </rPr>
      <t>ep</t>
    </r>
    <r>
      <rPr>
        <sz val="10"/>
        <rFont val="Arial"/>
        <family val="2"/>
      </rPr>
      <t xml:space="preserve"> value is automatically calculated based on the total VS produced for each livestock category (kg/animal/day), the population size, and the fraction of the manure from each livestock category that is managed in the digester (entered in column E below).  This total VS input is then multiplied by 30% to get an estimate  of the VS contained in the digester effluent. </t>
    </r>
    <r>
      <rPr>
        <b/>
        <sz val="10"/>
        <color rgb="FFFF0000"/>
        <rFont val="Arial"/>
        <family val="2"/>
      </rPr>
      <t>Projects that employ solids separation, either before or after the BCS, may use the default values in Table B.9, or site-specific values.</t>
    </r>
  </si>
  <si>
    <t>Livestock Category L</t>
  </si>
  <si>
    <r>
      <t>P</t>
    </r>
    <r>
      <rPr>
        <b/>
        <vertAlign val="subscript"/>
        <sz val="10"/>
        <rFont val="Arial"/>
        <family val="2"/>
      </rPr>
      <t>L</t>
    </r>
  </si>
  <si>
    <r>
      <t>MS</t>
    </r>
    <r>
      <rPr>
        <b/>
        <vertAlign val="subscript"/>
        <sz val="10"/>
        <rFont val="Arial"/>
        <family val="2"/>
      </rPr>
      <t>L,BCS</t>
    </r>
  </si>
  <si>
    <r>
      <t>B</t>
    </r>
    <r>
      <rPr>
        <b/>
        <vertAlign val="subscript"/>
        <sz val="10"/>
        <rFont val="Arial"/>
        <family val="2"/>
      </rPr>
      <t>0,ep</t>
    </r>
    <r>
      <rPr>
        <b/>
        <sz val="10"/>
        <rFont val="Arial"/>
        <family val="2"/>
      </rPr>
      <t xml:space="preserve"> (m</t>
    </r>
    <r>
      <rPr>
        <b/>
        <vertAlign val="superscript"/>
        <sz val="10"/>
        <rFont val="Arial"/>
        <family val="2"/>
      </rPr>
      <t>3</t>
    </r>
    <r>
      <rPr>
        <b/>
        <sz val="10"/>
        <rFont val="Arial"/>
        <family val="2"/>
      </rPr>
      <t>CH</t>
    </r>
    <r>
      <rPr>
        <b/>
        <vertAlign val="subscript"/>
        <sz val="10"/>
        <rFont val="Arial"/>
        <family val="2"/>
      </rPr>
      <t>4</t>
    </r>
    <r>
      <rPr>
        <b/>
        <sz val="10"/>
        <rFont val="Arial"/>
        <family val="2"/>
      </rPr>
      <t>/kg of VS)</t>
    </r>
    <r>
      <rPr>
        <b/>
        <vertAlign val="superscript"/>
        <sz val="10"/>
        <rFont val="Arial"/>
        <family val="2"/>
      </rPr>
      <t>1</t>
    </r>
  </si>
  <si>
    <t>Default value
(weighted average)</t>
  </si>
  <si>
    <t>User-defined alternative value</t>
  </si>
  <si>
    <r>
      <t>[ETF</t>
    </r>
    <r>
      <rPr>
        <b/>
        <vertAlign val="subscript"/>
        <sz val="10"/>
        <rFont val="Arial"/>
        <family val="2"/>
      </rPr>
      <t>i</t>
    </r>
    <r>
      <rPr>
        <b/>
        <sz val="10"/>
        <rFont val="Arial"/>
        <family val="2"/>
      </rPr>
      <t xml:space="preserve">] Fraction of digester effluent sent to treatment system </t>
    </r>
    <r>
      <rPr>
        <b/>
        <i/>
        <sz val="10"/>
        <rFont val="Arial"/>
        <family val="2"/>
      </rPr>
      <t xml:space="preserve">i </t>
    </r>
    <r>
      <rPr>
        <b/>
        <i/>
        <sz val="10"/>
        <color rgb="FFFF0000"/>
        <rFont val="Arial"/>
        <family val="2"/>
      </rPr>
      <t>(NOTE: The sum of all systems cannot exceed 100% for any month)</t>
    </r>
  </si>
  <si>
    <t>Non-Anaerobic Treatment Systems</t>
  </si>
  <si>
    <t>System</t>
  </si>
  <si>
    <t>Anaerobic Treatment</t>
  </si>
  <si>
    <t>Data check</t>
  </si>
  <si>
    <t>Non-Anaerobic MCF</t>
  </si>
  <si>
    <r>
      <t xml:space="preserve">1 </t>
    </r>
    <r>
      <rPr>
        <sz val="10"/>
        <rFont val="Arial"/>
        <family val="2"/>
      </rPr>
      <t>The default B</t>
    </r>
    <r>
      <rPr>
        <vertAlign val="subscript"/>
        <sz val="10"/>
        <rFont val="Arial"/>
        <family val="2"/>
      </rPr>
      <t>0ep</t>
    </r>
    <r>
      <rPr>
        <sz val="10"/>
        <rFont val="Arial"/>
        <family val="2"/>
      </rPr>
      <t xml:space="preserve"> value corresponds to a weighted average of the operation's livestock categories that contributes manure to the BCS. The user may define a justified alternative value in the adjacent cell to override this default.  If using a justified alternative value, briefly describe how this value was produced in the box on the right.</t>
    </r>
  </si>
  <si>
    <t>IV.D.  Manure Storage and Treatment System Components Other Than the BCS System, Post-Project [Protocol - Equation 5.9]</t>
  </si>
  <si>
    <t xml:space="preserve">Enter the on-site storage/treatment systems in use other than the BCS system/effluent pond in the yellow fields.  Refer to Worksheet XIV, Table XIV.A for the system component definitions.  Storage/treatment system categories that are not applicable should be left blank.  Enter the MCF value for the non-lagoon and storage pond system components in the orange fields.  Refer to Worksheet XIV, Table XIV.D, for the default methane conversion factors by manure management system components.  Storage component categories that are not applicable should be left blank. </t>
  </si>
  <si>
    <t>Anaerobic Storage/Treatment Systems</t>
  </si>
  <si>
    <t>MCF for Other Anaerobic Treatment Systems (fraction)</t>
  </si>
  <si>
    <t>Manure Management Storage/Treatment Systems</t>
  </si>
  <si>
    <t>Non-Anaerobic (Other)</t>
  </si>
  <si>
    <t>Uncovered anaerobic lagoon</t>
  </si>
  <si>
    <t>MCF for Other Non-Anaerobic Treatment Systems (fraction)</t>
  </si>
  <si>
    <r>
      <t>IV.E.  Fraction of Manure from Livestock Category L that is Stored/Treated in Any Other Storage System S (MS</t>
    </r>
    <r>
      <rPr>
        <b/>
        <vertAlign val="subscript"/>
        <sz val="12"/>
        <rFont val="Arial"/>
        <family val="2"/>
      </rPr>
      <t>L,s</t>
    </r>
    <r>
      <rPr>
        <b/>
        <sz val="12"/>
        <rFont val="Arial"/>
        <family val="2"/>
      </rPr>
      <t>) for the Project Calculation, Other than BCS + Effluent System</t>
    </r>
  </si>
  <si>
    <t>Enter the fraction (decimal format) of manure from each livestock category that is stored or treated in each system component within the yellow fields, if applicable.  Storage components and livestock categories that are not applicable should be left blank.</t>
  </si>
  <si>
    <t>IV.F.  Does the Fraction of Manure Handled by the Storage/Treatment System(s) Change Monthly or Seasonally?</t>
  </si>
  <si>
    <t>If yes, adjust Section IV.E. accordingly.</t>
  </si>
  <si>
    <t>IV.G.  Project Carbon Dioxide Emission Inputs [Protocol - Equation 5.11] Calculated in Worksheet XIII</t>
  </si>
  <si>
    <t>IV.G.i.  Project Carbon Dioxide Emission Inputs for Mobile Fossil Fuel Combustion: CO2(MSC)</t>
  </si>
  <si>
    <t>Enter the mobile source, fuel type, annual fuel quantity (QF), and fuel-specific emission factors (EFCO2) for all project, on-site mobile combustion sources. Refer to Worksheet XIV, Table XIV.E for the default EFC02 values for mobile sources.</t>
  </si>
  <si>
    <t>IV.G.ii.  Project Carbon Dioxide Emission Inputs for Stationary Fossil Fuel Combustion: CO2(MSC)</t>
  </si>
  <si>
    <t>Enter the source, fuel type, annual fuel quantity (QF), and fuel-specific emission factors (EFCO2) for all project, stationary combustion sources. Refer to Worksheet XIV, Table XIV.E for the default EFC02 values for stationary sources.</t>
  </si>
  <si>
    <t>IV.G.iii.  Project Carbon Dioxide Emission Inputs for Electricity Consumption: CO2,MSC</t>
  </si>
  <si>
    <t>Enter the amount of electricity consumed by equipment directly related to project activities.  Enter 0 if there are no relevant sources of electricity consumption.  As of May 3, 2011, projects should no longer refer to the eGRID tables in Appendix B of the protocol, but should instead refer to the U.S. EPA website and use the emission factor from the year that that the electricity was consumed (or the most current factor if the reporting year's factors have not been released).  Projects shall use the annual total output emission rates for the subregion where the project is located, not the annual non-baseload output emission rates.</t>
  </si>
  <si>
    <t>Worksheet V:  Baseline Methane Emissions from Anaerobic Storage/Treatment Systems</t>
  </si>
  <si>
    <t>Peach</t>
  </si>
  <si>
    <t>Automatic calculations - This value must be recorded and used as input for the next year's calculation</t>
  </si>
  <si>
    <r>
      <t>IV.A.  Baseline Methane Emissions from Anaerobic Storage/Treatment Systems by Livestock Category: BE</t>
    </r>
    <r>
      <rPr>
        <b/>
        <u/>
        <vertAlign val="subscript"/>
        <sz val="12"/>
        <rFont val="Arial"/>
        <family val="2"/>
      </rPr>
      <t>CH4,AS,y</t>
    </r>
    <r>
      <rPr>
        <b/>
        <u/>
        <sz val="12"/>
        <rFont val="Arial"/>
        <family val="2"/>
      </rPr>
      <t xml:space="preserve">  [Protocol - Equation 5.3]</t>
    </r>
  </si>
  <si>
    <r>
      <t>IMPORTANT:</t>
    </r>
    <r>
      <rPr>
        <sz val="10"/>
        <color indexed="10"/>
        <rFont val="Arial"/>
        <family val="2"/>
      </rPr>
      <t xml:space="preserve"> The total removal of solids from the baseline anaerobic storage/treatment system zeros-out the VS remaining from the previous month (column G below). The project developer is responsible for entering the month(s) that liquid is drained and solids are removed from the anaerobic lagoon in Section III.H.  See Livestock Project Protocol V4.0 Section 5.2 for guidance on when the term (VS</t>
    </r>
    <r>
      <rPr>
        <vertAlign val="subscript"/>
        <sz val="10"/>
        <color indexed="10"/>
        <rFont val="Arial"/>
        <family val="2"/>
      </rPr>
      <t>avail-1,AS</t>
    </r>
    <r>
      <rPr>
        <sz val="10"/>
        <color indexed="10"/>
        <rFont val="Arial"/>
        <family val="2"/>
      </rPr>
      <t xml:space="preserve"> - VS</t>
    </r>
    <r>
      <rPr>
        <vertAlign val="subscript"/>
        <sz val="10"/>
        <color indexed="10"/>
        <rFont val="Arial"/>
        <family val="2"/>
      </rPr>
      <t>deg-1,AS</t>
    </r>
    <r>
      <rPr>
        <sz val="10"/>
        <color indexed="10"/>
        <rFont val="Arial"/>
        <family val="2"/>
      </rPr>
      <t>) must be zeroed-out. If solids are carried over from one reporting period to the next, the amount of solids remaining from the last month of the previous RP must be manually entered in the first month for the current RP (column G).  Keep a record of the the  (VS</t>
    </r>
    <r>
      <rPr>
        <vertAlign val="subscript"/>
        <sz val="10"/>
        <color indexed="10"/>
        <rFont val="Arial"/>
        <family val="2"/>
      </rPr>
      <t>avail-1,AS</t>
    </r>
    <r>
      <rPr>
        <sz val="10"/>
        <color indexed="10"/>
        <rFont val="Arial"/>
        <family val="2"/>
      </rPr>
      <t xml:space="preserve"> - VS</t>
    </r>
    <r>
      <rPr>
        <vertAlign val="subscript"/>
        <sz val="10"/>
        <color indexed="10"/>
        <rFont val="Arial"/>
        <family val="2"/>
      </rPr>
      <t>deg-1,AS</t>
    </r>
    <r>
      <rPr>
        <sz val="10"/>
        <color indexed="10"/>
        <rFont val="Arial"/>
        <family val="2"/>
      </rPr>
      <t xml:space="preserve">) that must be input for the next TP (peach colored cells).  For operations in which there is only one anaerobic storage/treatment system, the calculation tool will render every other table blank.  </t>
    </r>
  </si>
  <si>
    <r>
      <t>VS</t>
    </r>
    <r>
      <rPr>
        <b/>
        <vertAlign val="subscript"/>
        <sz val="10"/>
        <rFont val="Arial"/>
        <family val="2"/>
      </rPr>
      <t>in,L</t>
    </r>
    <r>
      <rPr>
        <b/>
        <sz val="10"/>
        <rFont val="Arial"/>
        <family val="2"/>
      </rPr>
      <t xml:space="preserve"> (kg/animal/day) = </t>
    </r>
  </si>
  <si>
    <t># Days</t>
  </si>
  <si>
    <t>f</t>
  </si>
  <si>
    <r>
      <t>VS</t>
    </r>
    <r>
      <rPr>
        <b/>
        <vertAlign val="subscript"/>
        <sz val="10"/>
        <rFont val="Arial"/>
        <family val="2"/>
      </rPr>
      <t>L input</t>
    </r>
    <r>
      <rPr>
        <b/>
        <sz val="10"/>
        <rFont val="Arial"/>
        <family val="2"/>
      </rPr>
      <t xml:space="preserve"> (kg/animal/day)</t>
    </r>
  </si>
  <si>
    <r>
      <t>VS</t>
    </r>
    <r>
      <rPr>
        <b/>
        <vertAlign val="subscript"/>
        <sz val="10"/>
        <rFont val="Arial"/>
        <family val="2"/>
      </rPr>
      <t xml:space="preserve">avail,AS  </t>
    </r>
    <r>
      <rPr>
        <b/>
        <sz val="10"/>
        <rFont val="Arial"/>
        <family val="2"/>
      </rPr>
      <t>(kg)</t>
    </r>
  </si>
  <si>
    <r>
      <t>(Vs</t>
    </r>
    <r>
      <rPr>
        <b/>
        <vertAlign val="subscript"/>
        <sz val="10"/>
        <rFont val="Arial"/>
        <family val="2"/>
      </rPr>
      <t xml:space="preserve">avail-1,AS </t>
    </r>
    <r>
      <rPr>
        <b/>
        <sz val="10"/>
        <rFont val="Arial"/>
        <family val="2"/>
      </rPr>
      <t>- VS</t>
    </r>
    <r>
      <rPr>
        <b/>
        <vertAlign val="subscript"/>
        <sz val="10"/>
        <rFont val="Arial"/>
        <family val="2"/>
      </rPr>
      <t>deg-1,AS</t>
    </r>
    <r>
      <rPr>
        <b/>
        <sz val="10"/>
        <rFont val="Arial"/>
        <family val="2"/>
      </rPr>
      <t xml:space="preserve">) (kg)  </t>
    </r>
  </si>
  <si>
    <r>
      <t>VS</t>
    </r>
    <r>
      <rPr>
        <b/>
        <vertAlign val="subscript"/>
        <sz val="10"/>
        <rFont val="Arial"/>
        <family val="2"/>
      </rPr>
      <t>deg,AS</t>
    </r>
    <r>
      <rPr>
        <b/>
        <sz val="10"/>
        <rFont val="Arial"/>
        <family val="2"/>
      </rPr>
      <t xml:space="preserve">  (kg)</t>
    </r>
  </si>
  <si>
    <r>
      <t>BE</t>
    </r>
    <r>
      <rPr>
        <b/>
        <vertAlign val="subscript"/>
        <sz val="10"/>
        <rFont val="Arial"/>
        <family val="2"/>
      </rPr>
      <t xml:space="preserve">CH4,AS  </t>
    </r>
    <r>
      <rPr>
        <b/>
        <sz val="10"/>
        <rFont val="Arial"/>
        <family val="2"/>
      </rPr>
      <t>(MT)</t>
    </r>
  </si>
  <si>
    <r>
      <t>BE</t>
    </r>
    <r>
      <rPr>
        <b/>
        <vertAlign val="subscript"/>
        <sz val="10"/>
        <rFont val="Arial"/>
        <family val="2"/>
      </rPr>
      <t xml:space="preserve">CH4,AS  </t>
    </r>
    <r>
      <rPr>
        <b/>
        <sz val="10"/>
        <rFont val="Arial"/>
        <family val="2"/>
      </rPr>
      <t>(CO</t>
    </r>
    <r>
      <rPr>
        <b/>
        <vertAlign val="subscript"/>
        <sz val="10"/>
        <rFont val="Arial"/>
        <family val="2"/>
      </rPr>
      <t>2</t>
    </r>
    <r>
      <rPr>
        <b/>
        <sz val="10"/>
        <rFont val="Arial"/>
        <family val="2"/>
      </rPr>
      <t>e)</t>
    </r>
  </si>
  <si>
    <t>Annual Total:</t>
  </si>
  <si>
    <t>First month of next reporting period</t>
  </si>
  <si>
    <t>If solids are carried over from the previous reporting period, keep a record of the number above so that this number can be inserted into next year's calculation!</t>
  </si>
  <si>
    <r>
      <t xml:space="preserve">User Notes/Comments </t>
    </r>
    <r>
      <rPr>
        <b/>
        <sz val="10"/>
        <rFont val="Arial"/>
        <family val="2"/>
      </rPr>
      <t>(Explain historical solids removal practices for this storage/treatment system)</t>
    </r>
    <r>
      <rPr>
        <sz val="10"/>
        <rFont val="Arial"/>
        <family val="2"/>
      </rPr>
      <t>:</t>
    </r>
  </si>
  <si>
    <t>Annual total:</t>
  </si>
  <si>
    <r>
      <t>VS</t>
    </r>
    <r>
      <rPr>
        <b/>
        <vertAlign val="subscript"/>
        <sz val="10"/>
        <rFont val="Arial"/>
        <family val="2"/>
      </rPr>
      <t xml:space="preserve">avail,AS  </t>
    </r>
    <r>
      <rPr>
        <b/>
        <sz val="10"/>
        <rFont val="Arial"/>
        <family val="2"/>
      </rPr>
      <t xml:space="preserve">(kg) </t>
    </r>
  </si>
  <si>
    <t>If solids are carried over from December to January, keep a record of the number above so that this number can be inserted into Cell G455of the next year's calculation!</t>
  </si>
  <si>
    <r>
      <t>IV.B  Total Baseline Methane Emissions from Anaerobic Storage/Treatment Systems: BE</t>
    </r>
    <r>
      <rPr>
        <b/>
        <u/>
        <vertAlign val="subscript"/>
        <sz val="12"/>
        <rFont val="Arial"/>
        <family val="2"/>
      </rPr>
      <t>CH4,AS,y</t>
    </r>
    <r>
      <rPr>
        <b/>
        <u/>
        <sz val="12"/>
        <rFont val="Arial"/>
        <family val="2"/>
      </rPr>
      <t xml:space="preserve"> [Protocol - Equation 5.3]</t>
    </r>
  </si>
  <si>
    <r>
      <t>BE</t>
    </r>
    <r>
      <rPr>
        <b/>
        <vertAlign val="subscript"/>
        <sz val="10"/>
        <rFont val="Arial"/>
        <family val="2"/>
      </rPr>
      <t>CH4,AS</t>
    </r>
    <r>
      <rPr>
        <b/>
        <sz val="10"/>
        <rFont val="Arial"/>
        <family val="2"/>
      </rPr>
      <t>(MT)</t>
    </r>
  </si>
  <si>
    <r>
      <t xml:space="preserve">  tonnes CH</t>
    </r>
    <r>
      <rPr>
        <b/>
        <vertAlign val="subscript"/>
        <sz val="10"/>
        <rFont val="Arial"/>
        <family val="2"/>
      </rPr>
      <t>4</t>
    </r>
    <r>
      <rPr>
        <b/>
        <sz val="10"/>
        <rFont val="Arial"/>
        <family val="2"/>
      </rPr>
      <t xml:space="preserve"> year</t>
    </r>
    <r>
      <rPr>
        <b/>
        <vertAlign val="superscript"/>
        <sz val="10"/>
        <rFont val="Arial"/>
        <family val="2"/>
      </rPr>
      <t>-1</t>
    </r>
  </si>
  <si>
    <r>
      <t>BE</t>
    </r>
    <r>
      <rPr>
        <b/>
        <vertAlign val="subscript"/>
        <sz val="10"/>
        <rFont val="Arial"/>
        <family val="2"/>
      </rPr>
      <t xml:space="preserve">CH4,AS </t>
    </r>
    <r>
      <rPr>
        <b/>
        <sz val="10"/>
        <rFont val="Arial"/>
        <family val="2"/>
      </rPr>
      <t>(CO</t>
    </r>
    <r>
      <rPr>
        <b/>
        <vertAlign val="subscript"/>
        <sz val="10"/>
        <rFont val="Arial"/>
        <family val="2"/>
      </rPr>
      <t>2</t>
    </r>
    <r>
      <rPr>
        <b/>
        <sz val="10"/>
        <rFont val="Arial"/>
        <family val="2"/>
      </rPr>
      <t>e)</t>
    </r>
  </si>
  <si>
    <t>Worksheet VI:  Baseline methane emissions from non-anaerobic storage/treatment systems</t>
  </si>
  <si>
    <t>VI.A.  Baseline Methane Emissions from Non-Anaerobic Storage/Treatment Systems (By System Component) [Protocol - Equation 5.4]</t>
  </si>
  <si>
    <t>All inputs for these calculations taken from Worksheet III. Data Inputs -BE.  This worksheet requires no user input or adjustments.</t>
  </si>
  <si>
    <t>Livestock category (L)</t>
  </si>
  <si>
    <r>
      <t>P</t>
    </r>
    <r>
      <rPr>
        <b/>
        <vertAlign val="subscript"/>
        <sz val="10"/>
        <rFont val="Arial"/>
        <family val="2"/>
      </rPr>
      <t xml:space="preserve">L </t>
    </r>
    <r>
      <rPr>
        <b/>
        <sz val="10"/>
        <rFont val="Arial"/>
        <family val="2"/>
      </rPr>
      <t>(animal/yr)</t>
    </r>
  </si>
  <si>
    <r>
      <t>MS</t>
    </r>
    <r>
      <rPr>
        <b/>
        <vertAlign val="subscript"/>
        <sz val="10"/>
        <rFont val="Arial"/>
        <family val="2"/>
      </rPr>
      <t xml:space="preserve">L,nAS </t>
    </r>
    <r>
      <rPr>
        <b/>
        <sz val="10"/>
        <rFont val="Arial"/>
        <family val="2"/>
      </rPr>
      <t>(%)</t>
    </r>
  </si>
  <si>
    <r>
      <t>VS</t>
    </r>
    <r>
      <rPr>
        <b/>
        <vertAlign val="subscript"/>
        <sz val="10"/>
        <rFont val="Arial"/>
        <family val="2"/>
      </rPr>
      <t xml:space="preserve">in,L </t>
    </r>
    <r>
      <rPr>
        <b/>
        <sz val="10"/>
        <rFont val="Arial"/>
        <family val="2"/>
      </rPr>
      <t>(kg/animal/day)</t>
    </r>
  </si>
  <si>
    <r>
      <t>MCF</t>
    </r>
    <r>
      <rPr>
        <b/>
        <vertAlign val="subscript"/>
        <sz val="10"/>
        <rFont val="Arial"/>
        <family val="2"/>
      </rPr>
      <t xml:space="preserve">nAS </t>
    </r>
    <r>
      <rPr>
        <b/>
        <sz val="10"/>
        <rFont val="Arial"/>
        <family val="2"/>
      </rPr>
      <t>(%)</t>
    </r>
  </si>
  <si>
    <r>
      <t>B</t>
    </r>
    <r>
      <rPr>
        <b/>
        <vertAlign val="subscript"/>
        <sz val="10"/>
        <rFont val="Arial"/>
        <family val="2"/>
      </rPr>
      <t xml:space="preserve">o,L </t>
    </r>
    <r>
      <rPr>
        <b/>
        <sz val="10"/>
        <rFont val="Arial"/>
        <family val="2"/>
      </rPr>
      <t>(M</t>
    </r>
    <r>
      <rPr>
        <b/>
        <vertAlign val="superscript"/>
        <sz val="10"/>
        <rFont val="Arial"/>
        <family val="2"/>
      </rPr>
      <t>3</t>
    </r>
    <r>
      <rPr>
        <b/>
        <sz val="10"/>
        <rFont val="Arial"/>
        <family val="2"/>
      </rPr>
      <t xml:space="preserve"> CH</t>
    </r>
    <r>
      <rPr>
        <b/>
        <vertAlign val="subscript"/>
        <sz val="10"/>
        <rFont val="Arial"/>
        <family val="2"/>
      </rPr>
      <t>4</t>
    </r>
    <r>
      <rPr>
        <b/>
        <sz val="10"/>
        <rFont val="Arial"/>
        <family val="2"/>
      </rPr>
      <t>/kg VS)</t>
    </r>
  </si>
  <si>
    <r>
      <t>BE</t>
    </r>
    <r>
      <rPr>
        <b/>
        <vertAlign val="subscript"/>
        <sz val="10"/>
        <rFont val="Arial"/>
        <family val="2"/>
      </rPr>
      <t>CH4,nAS</t>
    </r>
    <r>
      <rPr>
        <b/>
        <sz val="10"/>
        <rFont val="Arial"/>
        <family val="2"/>
      </rPr>
      <t xml:space="preserve"> (MT) </t>
    </r>
  </si>
  <si>
    <r>
      <t>BE</t>
    </r>
    <r>
      <rPr>
        <b/>
        <vertAlign val="subscript"/>
        <sz val="10"/>
        <rFont val="Arial"/>
        <family val="2"/>
      </rPr>
      <t>CH4,nAS</t>
    </r>
    <r>
      <rPr>
        <b/>
        <sz val="10"/>
        <rFont val="Arial"/>
        <family val="2"/>
      </rPr>
      <t xml:space="preserve"> (CO2e)</t>
    </r>
  </si>
  <si>
    <t>Total:</t>
  </si>
  <si>
    <t xml:space="preserve">VI.B. Total Baseline Methane Emissions from Non-Anaerobic Storage/Treatment Systems  [Protocol - Equation 5.4] </t>
  </si>
  <si>
    <t>Worksheet VII:  Total Baseline Methane Emissions</t>
  </si>
  <si>
    <t>This section provides a summary of the baseline methane emissions by livestock category, storage/treatment system, and total methane.  This worksheet requires no user input or adjustments.</t>
  </si>
  <si>
    <t>VII.A. Baseline Methane Emissions by Livestock Category (L)  [Protocol - Equations 5.3 and 5.4]</t>
  </si>
  <si>
    <r>
      <t>Sum BE</t>
    </r>
    <r>
      <rPr>
        <b/>
        <vertAlign val="subscript"/>
        <sz val="10"/>
        <rFont val="Arial"/>
        <family val="2"/>
      </rPr>
      <t xml:space="preserve">CH4,AS  </t>
    </r>
    <r>
      <rPr>
        <b/>
        <sz val="10"/>
        <rFont val="Arial"/>
        <family val="2"/>
      </rPr>
      <t>(MT)</t>
    </r>
  </si>
  <si>
    <r>
      <t>Sum BE</t>
    </r>
    <r>
      <rPr>
        <b/>
        <vertAlign val="subscript"/>
        <sz val="10"/>
        <rFont val="Arial"/>
        <family val="2"/>
      </rPr>
      <t xml:space="preserve">CH4,AS </t>
    </r>
    <r>
      <rPr>
        <b/>
        <sz val="10"/>
        <rFont val="Arial"/>
        <family val="2"/>
      </rPr>
      <t>(CO</t>
    </r>
    <r>
      <rPr>
        <b/>
        <vertAlign val="subscript"/>
        <sz val="10"/>
        <rFont val="Arial"/>
        <family val="2"/>
      </rPr>
      <t>2</t>
    </r>
    <r>
      <rPr>
        <b/>
        <sz val="10"/>
        <rFont val="Arial"/>
        <family val="2"/>
      </rPr>
      <t>e)</t>
    </r>
  </si>
  <si>
    <r>
      <t>Sum BE</t>
    </r>
    <r>
      <rPr>
        <b/>
        <vertAlign val="subscript"/>
        <sz val="10"/>
        <rFont val="Arial"/>
        <family val="2"/>
      </rPr>
      <t>CH4,nAS</t>
    </r>
    <r>
      <rPr>
        <b/>
        <sz val="10"/>
        <rFont val="Arial"/>
        <family val="2"/>
      </rPr>
      <t xml:space="preserve"> (MT) </t>
    </r>
  </si>
  <si>
    <r>
      <t>Sum BE</t>
    </r>
    <r>
      <rPr>
        <b/>
        <vertAlign val="subscript"/>
        <sz val="10"/>
        <rFont val="Arial"/>
        <family val="2"/>
      </rPr>
      <t>CH4,nAS</t>
    </r>
    <r>
      <rPr>
        <b/>
        <sz val="10"/>
        <rFont val="Arial"/>
        <family val="2"/>
      </rPr>
      <t xml:space="preserve"> (CO</t>
    </r>
    <r>
      <rPr>
        <b/>
        <vertAlign val="subscript"/>
        <sz val="10"/>
        <rFont val="Arial"/>
        <family val="2"/>
      </rPr>
      <t>2</t>
    </r>
    <r>
      <rPr>
        <b/>
        <sz val="10"/>
        <rFont val="Arial"/>
        <family val="2"/>
      </rPr>
      <t>e)</t>
    </r>
  </si>
  <si>
    <r>
      <t>Total BE</t>
    </r>
    <r>
      <rPr>
        <b/>
        <vertAlign val="subscript"/>
        <sz val="10"/>
        <rFont val="Arial"/>
        <family val="2"/>
      </rPr>
      <t>CH4,L</t>
    </r>
    <r>
      <rPr>
        <b/>
        <sz val="10"/>
        <rFont val="Arial"/>
        <family val="2"/>
      </rPr>
      <t xml:space="preserve"> (MT)</t>
    </r>
  </si>
  <si>
    <r>
      <t>Total BE</t>
    </r>
    <r>
      <rPr>
        <b/>
        <vertAlign val="subscript"/>
        <sz val="10"/>
        <rFont val="Arial"/>
        <family val="2"/>
      </rPr>
      <t xml:space="preserve">CH4,L </t>
    </r>
    <r>
      <rPr>
        <b/>
        <sz val="10"/>
        <rFont val="Arial"/>
        <family val="2"/>
      </rPr>
      <t>(CO</t>
    </r>
    <r>
      <rPr>
        <b/>
        <vertAlign val="subscript"/>
        <sz val="10"/>
        <rFont val="Arial"/>
        <family val="2"/>
      </rPr>
      <t>2</t>
    </r>
    <r>
      <rPr>
        <b/>
        <sz val="10"/>
        <rFont val="Arial"/>
        <family val="2"/>
      </rPr>
      <t>e)</t>
    </r>
  </si>
  <si>
    <t>VII.B.  Baseline Methane Emissions by Methane Component (S) [Protocol - Equations 5.3 and 5.4]</t>
  </si>
  <si>
    <t>Storage/treatment system (S)</t>
  </si>
  <si>
    <r>
      <t>Total BE</t>
    </r>
    <r>
      <rPr>
        <b/>
        <vertAlign val="subscript"/>
        <sz val="10"/>
        <rFont val="Arial"/>
        <family val="2"/>
      </rPr>
      <t xml:space="preserve">CH4,S  </t>
    </r>
    <r>
      <rPr>
        <b/>
        <sz val="10"/>
        <rFont val="Arial"/>
        <family val="2"/>
      </rPr>
      <t>(MT)</t>
    </r>
  </si>
  <si>
    <r>
      <t>Total BE</t>
    </r>
    <r>
      <rPr>
        <b/>
        <vertAlign val="subscript"/>
        <sz val="10"/>
        <rFont val="Arial"/>
        <family val="2"/>
      </rPr>
      <t>CH4,S</t>
    </r>
    <r>
      <rPr>
        <b/>
        <sz val="10"/>
        <rFont val="Arial"/>
        <family val="2"/>
      </rPr>
      <t xml:space="preserve"> (CO2e)</t>
    </r>
  </si>
  <si>
    <t>VII.C.  Total Baseline Methane Emissions [Protocol - Equation 5.2]</t>
  </si>
  <si>
    <r>
      <t>Total BE</t>
    </r>
    <r>
      <rPr>
        <b/>
        <vertAlign val="subscript"/>
        <sz val="10"/>
        <rFont val="Arial"/>
        <family val="2"/>
      </rPr>
      <t xml:space="preserve">CH4,S </t>
    </r>
    <r>
      <rPr>
        <b/>
        <sz val="10"/>
        <rFont val="Arial"/>
        <family val="2"/>
      </rPr>
      <t>(MT)</t>
    </r>
  </si>
  <si>
    <t>Worksheet VIII:  Project Methane Emissions from the Biogas Control System</t>
  </si>
  <si>
    <t>VIII.A.  Project Methane Emissions from the Biogas Control System [Protocol - Equation 5.6] and Total Destroyed Methane [Protocol - Equation 5.10]</t>
  </si>
  <si>
    <t xml:space="preserve">All inputs for this worksheet taken from Worksheet IV. Data Inputs -PE.  This worksheet requires no user input or adjustments. </t>
  </si>
  <si>
    <r>
      <t>T (</t>
    </r>
    <r>
      <rPr>
        <b/>
        <vertAlign val="superscript"/>
        <sz val="10"/>
        <rFont val="Arial"/>
        <family val="2"/>
      </rPr>
      <t>o</t>
    </r>
    <r>
      <rPr>
        <b/>
        <sz val="10"/>
        <rFont val="Arial"/>
        <family val="2"/>
      </rPr>
      <t>R)</t>
    </r>
  </si>
  <si>
    <t>P (atm)</t>
  </si>
  <si>
    <t>F
(scf/month)</t>
  </si>
  <si>
    <r>
      <t>CH</t>
    </r>
    <r>
      <rPr>
        <b/>
        <vertAlign val="subscript"/>
        <sz val="10"/>
        <rFont val="Arial"/>
        <family val="2"/>
      </rPr>
      <t>4,conc</t>
    </r>
    <r>
      <rPr>
        <b/>
        <sz val="10"/>
        <rFont val="Arial"/>
        <family val="2"/>
      </rPr>
      <t xml:space="preserve"> (%)</t>
    </r>
  </si>
  <si>
    <r>
      <t>CH</t>
    </r>
    <r>
      <rPr>
        <b/>
        <vertAlign val="subscript"/>
        <sz val="10"/>
        <rFont val="Arial"/>
        <family val="2"/>
      </rPr>
      <t xml:space="preserve">4,meter
</t>
    </r>
    <r>
      <rPr>
        <b/>
        <sz val="10"/>
        <rFont val="Arial"/>
        <family val="2"/>
      </rPr>
      <t>(MTCH</t>
    </r>
    <r>
      <rPr>
        <b/>
        <vertAlign val="subscript"/>
        <sz val="10"/>
        <rFont val="Arial"/>
        <family val="2"/>
      </rPr>
      <t>4</t>
    </r>
    <r>
      <rPr>
        <b/>
        <sz val="10"/>
        <rFont val="Arial"/>
        <family val="2"/>
      </rPr>
      <t>/month)</t>
    </r>
  </si>
  <si>
    <t>BCE
(fraction)</t>
  </si>
  <si>
    <t>BDE
(fraction)</t>
  </si>
  <si>
    <r>
      <t>PE</t>
    </r>
    <r>
      <rPr>
        <b/>
        <vertAlign val="subscript"/>
        <sz val="10"/>
        <rFont val="Arial"/>
        <family val="2"/>
      </rPr>
      <t xml:space="preserve">CH4,BCS
</t>
    </r>
    <r>
      <rPr>
        <b/>
        <sz val="10"/>
        <rFont val="Arial"/>
        <family val="2"/>
      </rPr>
      <t>(MTCH</t>
    </r>
    <r>
      <rPr>
        <b/>
        <vertAlign val="subscript"/>
        <sz val="10"/>
        <rFont val="Arial"/>
        <family val="2"/>
      </rPr>
      <t>4</t>
    </r>
    <r>
      <rPr>
        <b/>
        <sz val="10"/>
        <rFont val="Arial"/>
        <family val="2"/>
      </rPr>
      <t>/month)</t>
    </r>
  </si>
  <si>
    <r>
      <t>PE</t>
    </r>
    <r>
      <rPr>
        <b/>
        <vertAlign val="subscript"/>
        <sz val="10"/>
        <rFont val="Arial"/>
        <family val="2"/>
      </rPr>
      <t xml:space="preserve">CH4,BCS
</t>
    </r>
    <r>
      <rPr>
        <b/>
        <sz val="10"/>
        <rFont val="Arial"/>
        <family val="2"/>
      </rPr>
      <t>(MTCO</t>
    </r>
    <r>
      <rPr>
        <b/>
        <vertAlign val="subscript"/>
        <sz val="10"/>
        <rFont val="Arial"/>
        <family val="2"/>
      </rPr>
      <t>2e</t>
    </r>
    <r>
      <rPr>
        <b/>
        <sz val="10"/>
        <rFont val="Arial"/>
        <family val="2"/>
      </rPr>
      <t>/month)</t>
    </r>
  </si>
  <si>
    <r>
      <t>CH</t>
    </r>
    <r>
      <rPr>
        <b/>
        <vertAlign val="subscript"/>
        <sz val="10"/>
        <rFont val="Arial"/>
        <family val="2"/>
      </rPr>
      <t xml:space="preserve">4,destroyed
</t>
    </r>
    <r>
      <rPr>
        <b/>
        <sz val="10"/>
        <rFont val="Arial"/>
        <family val="2"/>
      </rPr>
      <t>(MTCH</t>
    </r>
    <r>
      <rPr>
        <b/>
        <vertAlign val="subscript"/>
        <sz val="10"/>
        <rFont val="Arial"/>
        <family val="2"/>
      </rPr>
      <t>4</t>
    </r>
    <r>
      <rPr>
        <b/>
        <sz val="10"/>
        <rFont val="Arial"/>
        <family val="2"/>
      </rPr>
      <t>/month)</t>
    </r>
  </si>
  <si>
    <r>
      <t>CH</t>
    </r>
    <r>
      <rPr>
        <b/>
        <vertAlign val="subscript"/>
        <sz val="10"/>
        <rFont val="Arial"/>
        <family val="2"/>
      </rPr>
      <t xml:space="preserve">4,destroyed
</t>
    </r>
    <r>
      <rPr>
        <b/>
        <sz val="10"/>
        <rFont val="Arial"/>
        <family val="2"/>
      </rPr>
      <t>(MTCO</t>
    </r>
    <r>
      <rPr>
        <b/>
        <vertAlign val="subscript"/>
        <sz val="10"/>
        <rFont val="Arial"/>
        <family val="2"/>
      </rPr>
      <t>2e</t>
    </r>
    <r>
      <rPr>
        <b/>
        <sz val="10"/>
        <rFont val="Arial"/>
        <family val="2"/>
      </rPr>
      <t>/month)</t>
    </r>
  </si>
  <si>
    <t xml:space="preserve">Annual Total: </t>
  </si>
  <si>
    <t>Worksheet IX:  Project Methane Emissions from Venting Events</t>
  </si>
  <si>
    <t>All inputs for this worksheet taken from Worksheet IV. Data Inputs -PE.  This worksheet requires no user input or adjustment.</t>
  </si>
  <si>
    <t>IX.A.  Project Methane Emissions from Venting Events [Protocol - Equation 5.7]</t>
  </si>
  <si>
    <r>
      <t>If the BCS consists of multiple digester tanks or covered lagoons, the project only need quantify the maximum storage (MS</t>
    </r>
    <r>
      <rPr>
        <vertAlign val="subscript"/>
        <sz val="10"/>
        <rFont val="Arial"/>
        <family val="2"/>
      </rPr>
      <t>BCS</t>
    </r>
    <r>
      <rPr>
        <sz val="10"/>
        <rFont val="Arial"/>
        <family val="2"/>
      </rPr>
      <t>) and biogas flow (F</t>
    </r>
    <r>
      <rPr>
        <vertAlign val="subscript"/>
        <sz val="10"/>
        <rFont val="Arial"/>
        <family val="2"/>
      </rPr>
      <t>pw</t>
    </r>
    <r>
      <rPr>
        <sz val="10"/>
        <rFont val="Arial"/>
        <family val="2"/>
      </rPr>
      <t>) of the component(s) of the BCS that experienced the venting event. "t" represents the number of days of the month that biogas is venting uncontrolled from the BCS system (can be a fraction).</t>
    </r>
  </si>
  <si>
    <r>
      <t>Density of CH</t>
    </r>
    <r>
      <rPr>
        <b/>
        <vertAlign val="subscript"/>
        <sz val="10"/>
        <rFont val="Arial"/>
        <family val="2"/>
      </rPr>
      <t>4</t>
    </r>
    <r>
      <rPr>
        <b/>
        <sz val="10"/>
        <rFont val="Arial"/>
        <family val="2"/>
      </rPr>
      <t xml:space="preserve">
(lbsCH</t>
    </r>
    <r>
      <rPr>
        <b/>
        <vertAlign val="subscript"/>
        <sz val="10"/>
        <rFont val="Arial"/>
        <family val="2"/>
      </rPr>
      <t>4</t>
    </r>
    <r>
      <rPr>
        <b/>
        <sz val="10"/>
        <rFont val="Arial"/>
        <family val="2"/>
      </rPr>
      <t>/scf)</t>
    </r>
  </si>
  <si>
    <t>Mass Conversion
(lbs/MT)</t>
  </si>
  <si>
    <r>
      <t>CH</t>
    </r>
    <r>
      <rPr>
        <b/>
        <vertAlign val="subscript"/>
        <sz val="10"/>
        <rFont val="Arial"/>
        <family val="2"/>
      </rPr>
      <t xml:space="preserve">4,vent,I
</t>
    </r>
    <r>
      <rPr>
        <b/>
        <sz val="10"/>
        <rFont val="Arial"/>
        <family val="2"/>
      </rPr>
      <t>(MT)</t>
    </r>
  </si>
  <si>
    <r>
      <t>CH</t>
    </r>
    <r>
      <rPr>
        <b/>
        <vertAlign val="subscript"/>
        <sz val="10"/>
        <rFont val="Arial"/>
        <family val="2"/>
      </rPr>
      <t xml:space="preserve">4,vent,i
</t>
    </r>
    <r>
      <rPr>
        <b/>
        <sz val="10"/>
        <rFont val="Arial"/>
        <family val="2"/>
      </rPr>
      <t>(MTCO</t>
    </r>
    <r>
      <rPr>
        <b/>
        <vertAlign val="subscript"/>
        <sz val="10"/>
        <rFont val="Arial"/>
        <family val="2"/>
      </rPr>
      <t>2</t>
    </r>
    <r>
      <rPr>
        <b/>
        <sz val="10"/>
        <rFont val="Arial"/>
        <family val="2"/>
      </rPr>
      <t>e)</t>
    </r>
  </si>
  <si>
    <t xml:space="preserve">Annual Total:  </t>
  </si>
  <si>
    <t>Worksheet X:  Project Methane Emissions from Treatment of BCS Effluent</t>
  </si>
  <si>
    <t>X.A.  Modeled Project Methane Emissions from Anaerobic Treament of BCS Effluent [Protocol - Equation 5.8]</t>
  </si>
  <si>
    <r>
      <t>TOTAL VS</t>
    </r>
    <r>
      <rPr>
        <b/>
        <vertAlign val="subscript"/>
        <sz val="10"/>
        <rFont val="Arial"/>
        <family val="2"/>
      </rPr>
      <t>ET</t>
    </r>
  </si>
  <si>
    <r>
      <t>VS</t>
    </r>
    <r>
      <rPr>
        <b/>
        <vertAlign val="subscript"/>
        <sz val="10"/>
        <rFont val="Arial"/>
        <family val="2"/>
      </rPr>
      <t>ET</t>
    </r>
  </si>
  <si>
    <r>
      <t>B</t>
    </r>
    <r>
      <rPr>
        <b/>
        <vertAlign val="subscript"/>
        <sz val="10"/>
        <rFont val="Arial"/>
        <family val="2"/>
      </rPr>
      <t>0,ET</t>
    </r>
  </si>
  <si>
    <r>
      <t>days</t>
    </r>
    <r>
      <rPr>
        <b/>
        <vertAlign val="subscript"/>
        <sz val="10"/>
        <rFont val="Arial"/>
        <family val="2"/>
      </rPr>
      <t>mo</t>
    </r>
  </si>
  <si>
    <r>
      <t>rd</t>
    </r>
    <r>
      <rPr>
        <b/>
        <vertAlign val="subscript"/>
        <sz val="10"/>
        <rFont val="Arial"/>
        <family val="2"/>
      </rPr>
      <t>mo</t>
    </r>
  </si>
  <si>
    <r>
      <t>ETF</t>
    </r>
    <r>
      <rPr>
        <b/>
        <vertAlign val="subscript"/>
        <sz val="10"/>
        <rFont val="Arial"/>
        <family val="2"/>
      </rPr>
      <t>anaerobic</t>
    </r>
  </si>
  <si>
    <r>
      <t>PE</t>
    </r>
    <r>
      <rPr>
        <b/>
        <vertAlign val="subscript"/>
        <sz val="10"/>
        <rFont val="Arial"/>
        <family val="2"/>
      </rPr>
      <t>CH4,ET,AS</t>
    </r>
    <r>
      <rPr>
        <b/>
        <sz val="10"/>
        <rFont val="Arial"/>
        <family val="2"/>
      </rPr>
      <t xml:space="preserve"> (tCH</t>
    </r>
    <r>
      <rPr>
        <b/>
        <vertAlign val="subscript"/>
        <sz val="10"/>
        <rFont val="Arial"/>
        <family val="2"/>
      </rPr>
      <t>4</t>
    </r>
    <r>
      <rPr>
        <b/>
        <sz val="10"/>
        <rFont val="Arial"/>
        <family val="2"/>
      </rPr>
      <t>)</t>
    </r>
  </si>
  <si>
    <t>TOTAL FOR REPORTING PERIOD</t>
  </si>
  <si>
    <t>X.B.  Modeled Project Methane Emissions from Non-Anaerobic Treament of BCS Effluent [Protocol - Equation 5.9]</t>
  </si>
  <si>
    <r>
      <t>MS</t>
    </r>
    <r>
      <rPr>
        <b/>
        <vertAlign val="subscript"/>
        <sz val="10"/>
        <rFont val="Arial"/>
        <family val="2"/>
      </rPr>
      <t>ET,nAS</t>
    </r>
  </si>
  <si>
    <t>Weighted MCF</t>
  </si>
  <si>
    <r>
      <t>PE</t>
    </r>
    <r>
      <rPr>
        <b/>
        <vertAlign val="subscript"/>
        <sz val="10"/>
        <rFont val="Arial"/>
        <family val="2"/>
      </rPr>
      <t>CH4,ET,nAS</t>
    </r>
    <r>
      <rPr>
        <b/>
        <sz val="10"/>
        <rFont val="Arial"/>
        <family val="2"/>
      </rPr>
      <t xml:space="preserve"> (tCH</t>
    </r>
    <r>
      <rPr>
        <b/>
        <vertAlign val="subscript"/>
        <sz val="10"/>
        <rFont val="Arial"/>
        <family val="2"/>
      </rPr>
      <t>4</t>
    </r>
    <r>
      <rPr>
        <b/>
        <sz val="10"/>
        <rFont val="Arial"/>
        <family val="2"/>
      </rPr>
      <t>)</t>
    </r>
  </si>
  <si>
    <t>X.B.  Total Modeled Project Methane Emissions from Treament of BCS Effluent</t>
  </si>
  <si>
    <r>
      <t>PE</t>
    </r>
    <r>
      <rPr>
        <b/>
        <vertAlign val="subscript"/>
        <sz val="10"/>
        <rFont val="Arial"/>
        <family val="2"/>
      </rPr>
      <t>CH4,ET,AS</t>
    </r>
  </si>
  <si>
    <r>
      <t>PE</t>
    </r>
    <r>
      <rPr>
        <b/>
        <vertAlign val="subscript"/>
        <sz val="10"/>
        <rFont val="Arial"/>
        <family val="2"/>
      </rPr>
      <t>CH4,ET,nAS</t>
    </r>
  </si>
  <si>
    <r>
      <t>TOTAL PE</t>
    </r>
    <r>
      <rPr>
        <b/>
        <vertAlign val="subscript"/>
        <sz val="10"/>
        <rFont val="Arial"/>
        <family val="2"/>
      </rPr>
      <t>CH4,ET</t>
    </r>
  </si>
  <si>
    <r>
      <t>tCH</t>
    </r>
    <r>
      <rPr>
        <vertAlign val="subscript"/>
        <sz val="10"/>
        <rFont val="Arial"/>
        <family val="2"/>
      </rPr>
      <t>4</t>
    </r>
  </si>
  <si>
    <t>Worksheet XI:  Project Methane Emissions from Non-BCS-Related Sources</t>
  </si>
  <si>
    <t>XI.A.  Methane Emission Factor for the Livestock Population from Non-BCS-Related Sources [Protocol - Equation 5.10]</t>
  </si>
  <si>
    <t xml:space="preserve"> Daily volatile sold excretion values (VSL) for each of the livestock categories is drawn automatically from Worksheet III, Sections III.E, III.F, and III.G.  Project VS and Bo are the same values used in the baseline calculations. Rows without a storage/treatment system heading are left blank. This worksheet requires no user input or adjustments..</t>
  </si>
  <si>
    <r>
      <t>VS</t>
    </r>
    <r>
      <rPr>
        <b/>
        <vertAlign val="subscript"/>
        <sz val="10"/>
        <rFont val="Arial"/>
        <family val="2"/>
      </rPr>
      <t xml:space="preserve">L </t>
    </r>
    <r>
      <rPr>
        <b/>
        <sz val="10"/>
        <rFont val="Arial"/>
        <family val="2"/>
      </rPr>
      <t>(kg dry matter/day) =</t>
    </r>
  </si>
  <si>
    <r>
      <t>B</t>
    </r>
    <r>
      <rPr>
        <b/>
        <vertAlign val="subscript"/>
        <sz val="10"/>
        <rFont val="Arial"/>
        <family val="2"/>
      </rPr>
      <t>o,L</t>
    </r>
    <r>
      <rPr>
        <b/>
        <sz val="10"/>
        <rFont val="Arial"/>
        <family val="2"/>
      </rPr>
      <t xml:space="preserve"> (m</t>
    </r>
    <r>
      <rPr>
        <b/>
        <vertAlign val="superscript"/>
        <sz val="10"/>
        <rFont val="Arial"/>
        <family val="2"/>
      </rPr>
      <t>3</t>
    </r>
    <r>
      <rPr>
        <b/>
        <sz val="10"/>
        <rFont val="Arial"/>
        <family val="2"/>
      </rPr>
      <t xml:space="preserve"> CH</t>
    </r>
    <r>
      <rPr>
        <b/>
        <vertAlign val="subscript"/>
        <sz val="10"/>
        <rFont val="Arial"/>
        <family val="2"/>
      </rPr>
      <t>4</t>
    </r>
    <r>
      <rPr>
        <b/>
        <sz val="10"/>
        <rFont val="Arial"/>
        <family val="2"/>
      </rPr>
      <t xml:space="preserve">/kg VS dry matter) = </t>
    </r>
  </si>
  <si>
    <t>Storage/Treatment System (S)</t>
  </si>
  <si>
    <r>
      <t>MCF</t>
    </r>
    <r>
      <rPr>
        <b/>
        <vertAlign val="subscript"/>
        <sz val="10"/>
        <rFont val="Arial"/>
        <family val="2"/>
      </rPr>
      <t>S</t>
    </r>
    <r>
      <rPr>
        <b/>
        <sz val="10"/>
        <rFont val="Arial"/>
        <family val="2"/>
      </rPr>
      <t xml:space="preserve"> (%)</t>
    </r>
  </si>
  <si>
    <r>
      <t>MS</t>
    </r>
    <r>
      <rPr>
        <b/>
        <vertAlign val="subscript"/>
        <sz val="10"/>
        <rFont val="Arial"/>
        <family val="2"/>
      </rPr>
      <t>L,S</t>
    </r>
    <r>
      <rPr>
        <b/>
        <sz val="10"/>
        <rFont val="Arial"/>
        <family val="2"/>
      </rPr>
      <t xml:space="preserve"> (%)</t>
    </r>
  </si>
  <si>
    <r>
      <t>MCF</t>
    </r>
    <r>
      <rPr>
        <b/>
        <vertAlign val="subscript"/>
        <sz val="10"/>
        <rFont val="Arial"/>
        <family val="2"/>
      </rPr>
      <t>s</t>
    </r>
    <r>
      <rPr>
        <b/>
        <sz val="10"/>
        <rFont val="Arial"/>
        <family val="2"/>
      </rPr>
      <t>xMS</t>
    </r>
    <r>
      <rPr>
        <b/>
        <vertAlign val="subscript"/>
        <sz val="10"/>
        <rFont val="Arial"/>
        <family val="2"/>
      </rPr>
      <t>l,s</t>
    </r>
  </si>
  <si>
    <r>
      <t>EF</t>
    </r>
    <r>
      <rPr>
        <b/>
        <vertAlign val="subscript"/>
        <sz val="10"/>
        <rFont val="Arial"/>
        <family val="2"/>
      </rPr>
      <t>CH4,L</t>
    </r>
    <r>
      <rPr>
        <b/>
        <sz val="10"/>
        <rFont val="Arial"/>
        <family val="2"/>
      </rPr>
      <t>(nBCS</t>
    </r>
    <r>
      <rPr>
        <b/>
        <vertAlign val="subscript"/>
        <sz val="10"/>
        <rFont val="Arial"/>
        <family val="2"/>
      </rPr>
      <t>S</t>
    </r>
    <r>
      <rPr>
        <b/>
        <sz val="10"/>
        <rFont val="Arial"/>
        <family val="2"/>
      </rPr>
      <t>)
(kgCH4/head/yr)</t>
    </r>
  </si>
  <si>
    <t>Storage/treatment System (S)</t>
  </si>
  <si>
    <t>XI.B.  Project Methane Emissions from Non-BCS-Related Sources [Protocol - Equation 5.9]</t>
  </si>
  <si>
    <r>
      <t>Total EF</t>
    </r>
    <r>
      <rPr>
        <b/>
        <vertAlign val="subscript"/>
        <sz val="10"/>
        <rFont val="Arial"/>
        <family val="2"/>
      </rPr>
      <t>CH4,L</t>
    </r>
    <r>
      <rPr>
        <b/>
        <sz val="10"/>
        <rFont val="Arial"/>
        <family val="2"/>
      </rPr>
      <t>(nBCS</t>
    </r>
    <r>
      <rPr>
        <b/>
        <vertAlign val="subscript"/>
        <sz val="10"/>
        <rFont val="Arial"/>
        <family val="2"/>
      </rPr>
      <t>S</t>
    </r>
    <r>
      <rPr>
        <b/>
        <sz val="10"/>
        <rFont val="Arial"/>
        <family val="2"/>
      </rPr>
      <t>)
(kg CH</t>
    </r>
    <r>
      <rPr>
        <b/>
        <vertAlign val="subscript"/>
        <sz val="10"/>
        <rFont val="Arial"/>
        <family val="2"/>
      </rPr>
      <t>4</t>
    </r>
    <r>
      <rPr>
        <b/>
        <sz val="10"/>
        <rFont val="Arial"/>
        <family val="2"/>
      </rPr>
      <t>/head/yr)</t>
    </r>
  </si>
  <si>
    <r>
      <t>P</t>
    </r>
    <r>
      <rPr>
        <b/>
        <vertAlign val="subscript"/>
        <sz val="10"/>
        <rFont val="Arial"/>
        <family val="2"/>
      </rPr>
      <t>L</t>
    </r>
    <r>
      <rPr>
        <b/>
        <sz val="10"/>
        <rFont val="Arial"/>
        <family val="2"/>
      </rPr>
      <t xml:space="preserve"> (head)</t>
    </r>
  </si>
  <si>
    <t>Total kg CH4/year</t>
  </si>
  <si>
    <r>
      <t>PE</t>
    </r>
    <r>
      <rPr>
        <b/>
        <vertAlign val="subscript"/>
        <sz val="10"/>
        <rFont val="Arial"/>
        <family val="2"/>
      </rPr>
      <t xml:space="preserve">CH4,non-BCS
</t>
    </r>
    <r>
      <rPr>
        <b/>
        <sz val="10"/>
        <rFont val="Arial"/>
        <family val="2"/>
      </rPr>
      <t>(MT CH4/yr)</t>
    </r>
  </si>
  <si>
    <r>
      <t>PE</t>
    </r>
    <r>
      <rPr>
        <b/>
        <vertAlign val="subscript"/>
        <sz val="10"/>
        <rFont val="Arial"/>
        <family val="2"/>
      </rPr>
      <t xml:space="preserve">CH4,non-BCS
</t>
    </r>
    <r>
      <rPr>
        <b/>
        <sz val="10"/>
        <rFont val="Arial"/>
        <family val="2"/>
      </rPr>
      <t>(MT CO2e/yr)</t>
    </r>
  </si>
  <si>
    <t>Worksheet XI: Total Project Methane Emissions</t>
  </si>
  <si>
    <t>This section provides a summary of the project methane emissions by the BCS, effluent pond, and non-BCS. This worksheet requires no user input or adjustments.</t>
  </si>
  <si>
    <t>XII.A.  Project Methane Emissions from the Biogas Control System [Protocol - Equation 5.6]</t>
  </si>
  <si>
    <r>
      <t>PE</t>
    </r>
    <r>
      <rPr>
        <b/>
        <vertAlign val="subscript"/>
        <sz val="10"/>
        <rFont val="Arial"/>
        <family val="2"/>
      </rPr>
      <t>CH4,BCS</t>
    </r>
    <r>
      <rPr>
        <b/>
        <sz val="10"/>
        <rFont val="Arial"/>
        <family val="2"/>
      </rPr>
      <t xml:space="preserve"> (MT CH</t>
    </r>
    <r>
      <rPr>
        <b/>
        <vertAlign val="subscript"/>
        <sz val="10"/>
        <rFont val="Arial"/>
        <family val="2"/>
      </rPr>
      <t>4</t>
    </r>
    <r>
      <rPr>
        <b/>
        <sz val="10"/>
        <rFont val="Arial"/>
        <family val="2"/>
      </rPr>
      <t xml:space="preserve">/yr) = </t>
    </r>
  </si>
  <si>
    <r>
      <t>PE</t>
    </r>
    <r>
      <rPr>
        <b/>
        <vertAlign val="subscript"/>
        <sz val="10"/>
        <rFont val="Arial"/>
        <family val="2"/>
      </rPr>
      <t>CH4,BCS</t>
    </r>
    <r>
      <rPr>
        <b/>
        <sz val="10"/>
        <rFont val="Arial"/>
        <family val="2"/>
      </rPr>
      <t xml:space="preserve"> (MT CO</t>
    </r>
    <r>
      <rPr>
        <b/>
        <vertAlign val="subscript"/>
        <sz val="10"/>
        <rFont val="Arial"/>
        <family val="2"/>
      </rPr>
      <t>2</t>
    </r>
    <r>
      <rPr>
        <b/>
        <sz val="10"/>
        <rFont val="Arial"/>
        <family val="2"/>
      </rPr>
      <t xml:space="preserve">e/yr) = </t>
    </r>
  </si>
  <si>
    <t>XII.B.  Methane Emissions from Venting Events [Protocol - Equation 5.7]</t>
  </si>
  <si>
    <r>
      <t>CH</t>
    </r>
    <r>
      <rPr>
        <b/>
        <vertAlign val="subscript"/>
        <sz val="10"/>
        <rFont val="Arial"/>
        <family val="2"/>
      </rPr>
      <t>4,vent,i</t>
    </r>
    <r>
      <rPr>
        <b/>
        <sz val="10"/>
        <rFont val="Arial"/>
        <family val="2"/>
      </rPr>
      <t xml:space="preserve"> (MTCH</t>
    </r>
    <r>
      <rPr>
        <b/>
        <vertAlign val="subscript"/>
        <sz val="10"/>
        <rFont val="Arial"/>
        <family val="2"/>
      </rPr>
      <t>4</t>
    </r>
    <r>
      <rPr>
        <b/>
        <sz val="10"/>
        <rFont val="Arial"/>
        <family val="2"/>
      </rPr>
      <t>/yr)</t>
    </r>
  </si>
  <si>
    <r>
      <t>CH</t>
    </r>
    <r>
      <rPr>
        <b/>
        <vertAlign val="subscript"/>
        <sz val="10"/>
        <rFont val="Arial"/>
        <family val="2"/>
      </rPr>
      <t>4,vent,i</t>
    </r>
    <r>
      <rPr>
        <b/>
        <sz val="10"/>
        <rFont val="Arial"/>
        <family val="2"/>
      </rPr>
      <t xml:space="preserve"> (MTCO</t>
    </r>
    <r>
      <rPr>
        <b/>
        <vertAlign val="subscript"/>
        <sz val="10"/>
        <rFont val="Arial"/>
        <family val="2"/>
      </rPr>
      <t>2</t>
    </r>
    <r>
      <rPr>
        <b/>
        <sz val="10"/>
        <rFont val="Arial"/>
        <family val="2"/>
      </rPr>
      <t>e/yr)</t>
    </r>
  </si>
  <si>
    <t>XII.C.  Project Methane Emissions from treatment of BCS Effluent [Protocol - Equations 5.8 &amp; 5.9]</t>
  </si>
  <si>
    <r>
      <t>PE</t>
    </r>
    <r>
      <rPr>
        <b/>
        <vertAlign val="subscript"/>
        <sz val="10"/>
        <rFont val="Arial"/>
        <family val="2"/>
      </rPr>
      <t>CH4,EP</t>
    </r>
    <r>
      <rPr>
        <b/>
        <sz val="10"/>
        <rFont val="Arial"/>
        <family val="2"/>
      </rPr>
      <t xml:space="preserve"> (MT CH</t>
    </r>
    <r>
      <rPr>
        <b/>
        <vertAlign val="subscript"/>
        <sz val="10"/>
        <rFont val="Arial"/>
        <family val="2"/>
      </rPr>
      <t>4</t>
    </r>
    <r>
      <rPr>
        <b/>
        <sz val="10"/>
        <rFont val="Arial"/>
        <family val="2"/>
      </rPr>
      <t>/yr) =</t>
    </r>
  </si>
  <si>
    <r>
      <t>PE</t>
    </r>
    <r>
      <rPr>
        <b/>
        <vertAlign val="subscript"/>
        <sz val="10"/>
        <rFont val="Arial"/>
        <family val="2"/>
      </rPr>
      <t>CH4,EP</t>
    </r>
    <r>
      <rPr>
        <b/>
        <sz val="10"/>
        <rFont val="Arial"/>
        <family val="2"/>
      </rPr>
      <t xml:space="preserve"> (MT CO</t>
    </r>
    <r>
      <rPr>
        <b/>
        <vertAlign val="subscript"/>
        <sz val="10"/>
        <rFont val="Arial"/>
        <family val="2"/>
      </rPr>
      <t>2</t>
    </r>
    <r>
      <rPr>
        <b/>
        <sz val="10"/>
        <rFont val="Arial"/>
        <family val="2"/>
      </rPr>
      <t>e/yr) =</t>
    </r>
  </si>
  <si>
    <t>XII.D.  Project Methane Emissions from Non-BCS-Related Sources [Protocol - Equation 5.10]</t>
  </si>
  <si>
    <r>
      <t>PE</t>
    </r>
    <r>
      <rPr>
        <b/>
        <vertAlign val="subscript"/>
        <sz val="10"/>
        <rFont val="Arial"/>
        <family val="2"/>
      </rPr>
      <t xml:space="preserve">CH4,non-BCS </t>
    </r>
    <r>
      <rPr>
        <b/>
        <sz val="10"/>
        <rFont val="Arial"/>
        <family val="2"/>
      </rPr>
      <t>(MT CH</t>
    </r>
    <r>
      <rPr>
        <b/>
        <vertAlign val="subscript"/>
        <sz val="10"/>
        <rFont val="Arial"/>
        <family val="2"/>
      </rPr>
      <t>4</t>
    </r>
    <r>
      <rPr>
        <b/>
        <sz val="10"/>
        <rFont val="Arial"/>
        <family val="2"/>
      </rPr>
      <t xml:space="preserve">/yr) = </t>
    </r>
  </si>
  <si>
    <r>
      <t>PE</t>
    </r>
    <r>
      <rPr>
        <b/>
        <vertAlign val="subscript"/>
        <sz val="10"/>
        <rFont val="Arial"/>
        <family val="2"/>
      </rPr>
      <t xml:space="preserve">CH4,non-BCS </t>
    </r>
    <r>
      <rPr>
        <b/>
        <sz val="10"/>
        <rFont val="Arial"/>
        <family val="2"/>
      </rPr>
      <t>(MT CO</t>
    </r>
    <r>
      <rPr>
        <b/>
        <vertAlign val="subscript"/>
        <sz val="10"/>
        <rFont val="Arial"/>
        <family val="2"/>
      </rPr>
      <t>2</t>
    </r>
    <r>
      <rPr>
        <b/>
        <sz val="10"/>
        <rFont val="Arial"/>
        <family val="2"/>
      </rPr>
      <t xml:space="preserve">e/yr) = </t>
    </r>
  </si>
  <si>
    <t>XII.E.  Total Project Methane Emissions [Protocol - Equation 5.5]</t>
  </si>
  <si>
    <r>
      <t>PE</t>
    </r>
    <r>
      <rPr>
        <b/>
        <vertAlign val="subscript"/>
        <sz val="10"/>
        <rFont val="Arial"/>
        <family val="2"/>
      </rPr>
      <t xml:space="preserve">CH4 </t>
    </r>
    <r>
      <rPr>
        <b/>
        <sz val="10"/>
        <rFont val="Arial"/>
        <family val="2"/>
      </rPr>
      <t>(MT CH</t>
    </r>
    <r>
      <rPr>
        <b/>
        <vertAlign val="subscript"/>
        <sz val="10"/>
        <rFont val="Arial"/>
        <family val="2"/>
      </rPr>
      <t>4</t>
    </r>
    <r>
      <rPr>
        <b/>
        <sz val="10"/>
        <rFont val="Arial"/>
        <family val="2"/>
      </rPr>
      <t>/yr)</t>
    </r>
  </si>
  <si>
    <r>
      <t>PE</t>
    </r>
    <r>
      <rPr>
        <b/>
        <vertAlign val="subscript"/>
        <sz val="10"/>
        <rFont val="Arial"/>
        <family val="2"/>
      </rPr>
      <t xml:space="preserve">CH4 </t>
    </r>
    <r>
      <rPr>
        <b/>
        <sz val="10"/>
        <rFont val="Arial"/>
        <family val="2"/>
      </rPr>
      <t>(MT CO</t>
    </r>
    <r>
      <rPr>
        <b/>
        <vertAlign val="subscript"/>
        <sz val="10"/>
        <rFont val="Arial"/>
        <family val="2"/>
      </rPr>
      <t>2</t>
    </r>
    <r>
      <rPr>
        <b/>
        <sz val="10"/>
        <rFont val="Arial"/>
        <family val="2"/>
      </rPr>
      <t xml:space="preserve">e/yr) = </t>
    </r>
  </si>
  <si>
    <t>Worksheet XIII: Carbon Dioxide Emission Calculations</t>
  </si>
  <si>
    <t>Inputs for this worksheet taken from Worksheets III and IV. This worksheet requires no user input or adjustment.</t>
  </si>
  <si>
    <t>XIII.A. Baseline Carbon Dioxide Emissions [Protocol - Equation 5.12]</t>
  </si>
  <si>
    <r>
      <t>XIII.A.i.  Baseline Carbon Dioxide Emissions for Mobile Fossil Fuel Combustion: CO</t>
    </r>
    <r>
      <rPr>
        <b/>
        <vertAlign val="subscript"/>
        <sz val="10"/>
        <rFont val="Arial"/>
        <family val="2"/>
      </rPr>
      <t>2,MSC</t>
    </r>
  </si>
  <si>
    <t>Fuel Type (c)</t>
  </si>
  <si>
    <r>
      <t>EF</t>
    </r>
    <r>
      <rPr>
        <b/>
        <vertAlign val="subscript"/>
        <sz val="10"/>
        <rFont val="Arial"/>
        <family val="2"/>
      </rPr>
      <t xml:space="preserve">CO2,f </t>
    </r>
    <r>
      <rPr>
        <b/>
        <sz val="10"/>
        <rFont val="Arial"/>
        <family val="2"/>
      </rPr>
      <t>(kg CO</t>
    </r>
    <r>
      <rPr>
        <b/>
        <vertAlign val="subscript"/>
        <sz val="10"/>
        <rFont val="Arial"/>
        <family val="2"/>
      </rPr>
      <t>2</t>
    </r>
    <r>
      <rPr>
        <b/>
        <sz val="10"/>
        <rFont val="Arial"/>
        <family val="2"/>
      </rPr>
      <t>/gallon)</t>
    </r>
  </si>
  <si>
    <r>
      <t>CO</t>
    </r>
    <r>
      <rPr>
        <b/>
        <vertAlign val="subscript"/>
        <sz val="10"/>
        <rFont val="Arial"/>
        <family val="2"/>
      </rPr>
      <t>2c</t>
    </r>
    <r>
      <rPr>
        <b/>
        <sz val="10"/>
        <rFont val="Arial"/>
        <family val="2"/>
      </rPr>
      <t xml:space="preserve"> (MT)</t>
    </r>
  </si>
  <si>
    <r>
      <t>Total CO</t>
    </r>
    <r>
      <rPr>
        <b/>
        <vertAlign val="subscript"/>
        <sz val="10"/>
        <rFont val="Arial"/>
        <family val="2"/>
      </rPr>
      <t xml:space="preserve">2(MSC) </t>
    </r>
    <r>
      <rPr>
        <b/>
        <sz val="10"/>
        <rFont val="Arial"/>
        <family val="2"/>
      </rPr>
      <t>for Mobile Fossil Fuel Sources:</t>
    </r>
  </si>
  <si>
    <r>
      <t>XIII.A.ii.  Baseline Carbon Dioxide Emissions for Stationary Fossil Fuel Combustion: CO</t>
    </r>
    <r>
      <rPr>
        <b/>
        <vertAlign val="subscript"/>
        <sz val="10"/>
        <rFont val="Arial"/>
        <family val="2"/>
      </rPr>
      <t>2,MSC</t>
    </r>
  </si>
  <si>
    <r>
      <t>Total CO</t>
    </r>
    <r>
      <rPr>
        <b/>
        <vertAlign val="subscript"/>
        <sz val="10"/>
        <rFont val="Arial"/>
        <family val="2"/>
      </rPr>
      <t xml:space="preserve">2(MSC) </t>
    </r>
    <r>
      <rPr>
        <b/>
        <sz val="10"/>
        <rFont val="Arial"/>
        <family val="2"/>
      </rPr>
      <t>for Stationary Fossil Fuel Sources:</t>
    </r>
  </si>
  <si>
    <r>
      <t>XIII.A.iii.  Baseline Carbon Dioxide Emissions from Electricity Consumption: CO</t>
    </r>
    <r>
      <rPr>
        <b/>
        <vertAlign val="subscript"/>
        <sz val="10"/>
        <rFont val="Arial"/>
        <family val="2"/>
      </rPr>
      <t>2,MSC</t>
    </r>
  </si>
  <si>
    <r>
      <t>XIII.A.iv. Total Baseline Carbon Dioxide Emissions BE</t>
    </r>
    <r>
      <rPr>
        <b/>
        <vertAlign val="subscript"/>
        <sz val="10"/>
        <rFont val="Arial"/>
        <family val="2"/>
      </rPr>
      <t>CO2,MSC</t>
    </r>
    <r>
      <rPr>
        <b/>
        <sz val="10"/>
        <rFont val="Arial"/>
        <family val="2"/>
      </rPr>
      <t>:</t>
    </r>
  </si>
  <si>
    <t>XIII.B.  Project Carbon Dioxide Emissions [Protocol - Equation 5.11]</t>
  </si>
  <si>
    <r>
      <t>XIII.B.i.  Project Carbon Dioxide Emissions for Mobile Fossil Fuel Combustion: CO</t>
    </r>
    <r>
      <rPr>
        <b/>
        <vertAlign val="subscript"/>
        <sz val="10"/>
        <rFont val="Arial"/>
        <family val="2"/>
      </rPr>
      <t>2,MSC</t>
    </r>
  </si>
  <si>
    <r>
      <t>CO</t>
    </r>
    <r>
      <rPr>
        <b/>
        <vertAlign val="subscript"/>
        <sz val="10"/>
        <rFont val="Arial"/>
        <family val="2"/>
      </rPr>
      <t>2</t>
    </r>
    <r>
      <rPr>
        <b/>
        <sz val="10"/>
        <rFont val="Arial"/>
        <family val="2"/>
      </rPr>
      <t>e (MT)</t>
    </r>
  </si>
  <si>
    <r>
      <t>Total CO</t>
    </r>
    <r>
      <rPr>
        <b/>
        <vertAlign val="subscript"/>
        <sz val="10"/>
        <rFont val="Arial"/>
        <family val="2"/>
      </rPr>
      <t xml:space="preserve">2,MSC </t>
    </r>
    <r>
      <rPr>
        <b/>
        <sz val="10"/>
        <rFont val="Arial"/>
        <family val="2"/>
      </rPr>
      <t>for Mobile Fossil Fuel Sources:</t>
    </r>
  </si>
  <si>
    <r>
      <t>XIII.B.ii.  Project Carbon Dioxide Emissions for Stationary Fossil Fuel Combustion: CO</t>
    </r>
    <r>
      <rPr>
        <b/>
        <vertAlign val="subscript"/>
        <sz val="10"/>
        <rFont val="Arial"/>
        <family val="2"/>
      </rPr>
      <t>2,MSC</t>
    </r>
  </si>
  <si>
    <r>
      <t>Total CO</t>
    </r>
    <r>
      <rPr>
        <b/>
        <vertAlign val="subscript"/>
        <sz val="10"/>
        <rFont val="Arial"/>
        <family val="2"/>
      </rPr>
      <t xml:space="preserve">2,MSC </t>
    </r>
    <r>
      <rPr>
        <b/>
        <sz val="10"/>
        <rFont val="Arial"/>
        <family val="2"/>
      </rPr>
      <t>for Stationary Fossil Fuel Sources:</t>
    </r>
  </si>
  <si>
    <r>
      <t>XIII.B.iii.  Project Carbon Dioxide Emissions from Grid-Connected Electricity Usage: CO</t>
    </r>
    <r>
      <rPr>
        <b/>
        <vertAlign val="subscript"/>
        <sz val="10"/>
        <rFont val="Arial"/>
        <family val="2"/>
      </rPr>
      <t>2,MSC</t>
    </r>
  </si>
  <si>
    <r>
      <t>XIII.B.iv. Total Project Carbon Dioxide Emissions CO</t>
    </r>
    <r>
      <rPr>
        <b/>
        <vertAlign val="subscript"/>
        <sz val="10"/>
        <rFont val="Arial"/>
        <family val="2"/>
      </rPr>
      <t>2,MSC</t>
    </r>
    <r>
      <rPr>
        <b/>
        <sz val="10"/>
        <rFont val="Arial"/>
        <family val="2"/>
      </rPr>
      <t>:</t>
    </r>
  </si>
  <si>
    <t>Worksheet XIV:  Reference Tables</t>
  </si>
  <si>
    <t>Table XIV.A. Manure Management System Components</t>
  </si>
  <si>
    <t>Definition</t>
  </si>
  <si>
    <t xml:space="preserve">Pasture/Range/ Paddock </t>
  </si>
  <si>
    <t>The manure from pasture and range grazing animals is allowed to lie as deposited, and is not managed.</t>
  </si>
  <si>
    <t>Manure is routinely removed from a confinement facility and is applied to cropland or pasture within 24 hours of excretion.</t>
  </si>
  <si>
    <t>The storage of manure, typically for a period of several months, in unconfined piles or stacks.  Manure is able to be stacked due to the presence of a sufficient amount of bedding material or loss of moisture by evaporation. Manure is "solid" if it contains less than 20% dry matter.</t>
  </si>
  <si>
    <t xml:space="preserve">Dry lot </t>
  </si>
  <si>
    <t>A paved or unpaved open confinement area without any significant vegetative cover where accumulating manure may be removed periodically.</t>
  </si>
  <si>
    <t>Liquid/Slurry</t>
  </si>
  <si>
    <t>Manure is stored as excreted or with some minimal addition of water in either tanks or earthen ponds outside the animal housing, usually for periods less than one year.</t>
  </si>
  <si>
    <t>A type of liquid storage system designed and operated to combine waste stabilization and storage. Lagoon supernatant is usually used to remove manure from the associated confinement facilities to the lagoon. Anaerobic lagoons are designed with varying lengths of storage (up to a year or greater), depending on the climate region, the volatile solids loading rate, and other operational factors. The water from the lagoon may be recycled as flush water or used to irrigate and fertilize fields.</t>
  </si>
  <si>
    <t>Pit storage below animal confinements</t>
  </si>
  <si>
    <t>Collection and storage of manure usually with little or no added water typically below a slatted floor in an enclosed animal confinement facility, usually for periods less than one year.</t>
  </si>
  <si>
    <t>Anaerobic digester</t>
  </si>
  <si>
    <t>Animal excreta with or without straw are collected and anaerobically digested in a large containment vessel or covered lagoon. Digesters are designed and operated for waste stabilization by the microbial reduction of complex organic compounds to CO2 and CH4, which is captured and flared or used as a fuel.</t>
  </si>
  <si>
    <t xml:space="preserve">Burned for fuel </t>
  </si>
  <si>
    <t>The dung and urine are excreted on fields. The sun dried dung cakes are burned for fuel.</t>
  </si>
  <si>
    <t>Cattle and Swine deep bedding</t>
  </si>
  <si>
    <t>As manure accumulates, bedding is continually added to absorb moisture over a production cycle and possibly for as long as 6 to 12 months. This manure management system also is known as a bedded pack manure management system and may be combined with a dry lot or pasture.</t>
  </si>
  <si>
    <t>Composting – In-vessel*</t>
  </si>
  <si>
    <t>Composting, typically in an enclosed channel, with forced aeration and continuous mixing.</t>
  </si>
  <si>
    <t>Composting – Static pile*</t>
  </si>
  <si>
    <t>Composting in piles with forced aeration but no mixing.</t>
  </si>
  <si>
    <t>Composting – Intensive windrow*</t>
  </si>
  <si>
    <t>Composting in windrows with regular (at least daily) turning for mixing and aeration.</t>
  </si>
  <si>
    <t>Composting – Passive windrow*</t>
  </si>
  <si>
    <t>Composting in windrows with infrequent turning for mixing and aeration.</t>
  </si>
  <si>
    <t>The biological oxidation of manure collected as a liquid with either forced or natural aeration. Natural aeration is limited to aerobic and facultative ponds and wetland systems and is due primarily to photosynthesis. Hence, these systems typically become anoxic during periods without sunlight.</t>
  </si>
  <si>
    <t>*Composting is the biological oxidation of a solid waste including manure usually with bedding or another organic carbon source typically at thermophilic temperatures produced by microbial heat production.</t>
  </si>
  <si>
    <r>
      <t>Source</t>
    </r>
    <r>
      <rPr>
        <sz val="10"/>
        <rFont val="Arial"/>
        <family val="2"/>
      </rPr>
      <t>: 2006 IPCC Guidelines for National Greenhouse Gas Inventories, Chapter 10: Emissions from Livestock and Manure Management, Table 10.18: Definitions of Manure Management Systems, p. 10.49.</t>
    </r>
  </si>
  <si>
    <t>Table XIV.B. Volatile Solids, Maximum Methane Potential, and Typical Average Mass for All Livestock Categories</t>
  </si>
  <si>
    <r>
      <t>Livestock Category</t>
    </r>
    <r>
      <rPr>
        <b/>
        <i/>
        <sz val="10"/>
        <rFont val="Arial"/>
        <family val="2"/>
      </rPr>
      <t xml:space="preserve"> (L)</t>
    </r>
  </si>
  <si>
    <r>
      <t>VS</t>
    </r>
    <r>
      <rPr>
        <b/>
        <vertAlign val="subscript"/>
        <sz val="10"/>
        <rFont val="Arial"/>
        <family val="2"/>
      </rPr>
      <t>L</t>
    </r>
    <r>
      <rPr>
        <b/>
        <sz val="10"/>
        <rFont val="Arial"/>
        <family val="2"/>
      </rPr>
      <t xml:space="preserve"> </t>
    </r>
  </si>
  <si>
    <r>
      <t>B</t>
    </r>
    <r>
      <rPr>
        <b/>
        <vertAlign val="subscript"/>
        <sz val="10"/>
        <rFont val="Arial"/>
        <family val="2"/>
      </rPr>
      <t>o,L</t>
    </r>
    <r>
      <rPr>
        <b/>
        <sz val="10"/>
        <rFont val="Arial"/>
        <family val="2"/>
      </rPr>
      <t xml:space="preserve"> </t>
    </r>
  </si>
  <si>
    <t>Livestock Typical Average Mass (TAM) in kg</t>
  </si>
  <si>
    <t>(kg/day per 1,000 kg mass)</t>
  </si>
  <si>
    <r>
      <t>(m</t>
    </r>
    <r>
      <rPr>
        <b/>
        <vertAlign val="superscript"/>
        <sz val="10"/>
        <rFont val="Arial"/>
        <family val="2"/>
      </rPr>
      <t>3</t>
    </r>
    <r>
      <rPr>
        <b/>
        <sz val="10"/>
        <rFont val="Arial"/>
        <family val="2"/>
      </rPr>
      <t xml:space="preserve"> CH</t>
    </r>
    <r>
      <rPr>
        <b/>
        <vertAlign val="subscript"/>
        <sz val="10"/>
        <rFont val="Arial"/>
        <family val="2"/>
      </rPr>
      <t>4</t>
    </r>
    <r>
      <rPr>
        <b/>
        <sz val="10"/>
        <rFont val="Arial"/>
        <family val="2"/>
      </rPr>
      <t>/kg VS added)</t>
    </r>
  </si>
  <si>
    <t>2006 - 2008</t>
  </si>
  <si>
    <t>2009 - 2010</t>
  </si>
  <si>
    <t>2011-2014</t>
  </si>
  <si>
    <t>2015-2016</t>
  </si>
  <si>
    <t>See Table XIV.C</t>
  </si>
  <si>
    <r>
      <t>5.56</t>
    </r>
    <r>
      <rPr>
        <vertAlign val="superscript"/>
        <sz val="10"/>
        <rFont val="Arial"/>
        <family val="2"/>
      </rPr>
      <t>a</t>
    </r>
  </si>
  <si>
    <r>
      <t>6.04</t>
    </r>
    <r>
      <rPr>
        <vertAlign val="superscript"/>
        <sz val="10"/>
        <rFont val="Arial"/>
        <family val="2"/>
      </rPr>
      <t>b</t>
    </r>
  </si>
  <si>
    <r>
      <t>6.41</t>
    </r>
    <r>
      <rPr>
        <vertAlign val="superscript"/>
        <sz val="10"/>
        <rFont val="Arial"/>
        <family val="2"/>
      </rPr>
      <t>b</t>
    </r>
  </si>
  <si>
    <r>
      <t>8.89</t>
    </r>
    <r>
      <rPr>
        <vertAlign val="superscript"/>
        <sz val="10"/>
        <rFont val="Arial"/>
        <family val="2"/>
      </rPr>
      <t>b</t>
    </r>
  </si>
  <si>
    <r>
      <t>5.36</t>
    </r>
    <r>
      <rPr>
        <vertAlign val="superscript"/>
        <sz val="10"/>
        <rFont val="Arial"/>
        <family val="2"/>
      </rPr>
      <t>b</t>
    </r>
  </si>
  <si>
    <r>
      <t>2.71</t>
    </r>
    <r>
      <rPr>
        <vertAlign val="superscript"/>
        <sz val="10"/>
        <rFont val="Arial"/>
        <family val="2"/>
      </rPr>
      <t>c</t>
    </r>
  </si>
  <si>
    <t>Sources:</t>
  </si>
  <si>
    <t>a American Society of Agricultural Engineers (ASAE) Standards 2005, ASAE D384.2.</t>
  </si>
  <si>
    <t>b Environmental Protection Agency (EPA), Inventory of US GHG Emissions and Sinks 1990-2012 (2018), Annex 3, Table A-160.</t>
  </si>
  <si>
    <t>c Environmental Protection Agency (EPA), Inventory of US GHG Emissions and Sinks 1990-2012 (2014), Annex 3, Table A-203, pg. A-270.</t>
  </si>
  <si>
    <t>Table XIV.C. Volatile Solids for Non-Dominant Heifers, Heifers-Pasture/Grazing and Cows-Pasture/Grazing by State</t>
  </si>
  <si>
    <t>2015 Volatile Solid default values for Dairy Cows, Heifers, Heifers-Grazing and Cows-Grazing by State (kg/day/1,000 kg mass)</t>
  </si>
  <si>
    <t>Source: Environmental Protection Agency (EPA)-U.S. Inventory of GHG Sources and Sinks 1990-2016 (2018), Annex 3 Table A-185.</t>
  </si>
  <si>
    <t>VS Dairy Cow</t>
  </si>
  <si>
    <t>VS Heifer</t>
  </si>
  <si>
    <t>VS Heifer-Grazing</t>
  </si>
  <si>
    <t>VS Cows-Grazing</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</si>
  <si>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</si>
  <si>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</si>
  <si>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</si>
  <si>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</si>
  <si>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</si>
  <si>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</si>
  <si>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</si>
  <si>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</si>
  <si>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</si>
  <si>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</si>
  <si>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</si>
  <si>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</si>
  <si>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</si>
  <si>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</si>
  <si>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</si>
  <si>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</si>
  <si>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</si>
  <si>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</si>
  <si>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</si>
  <si>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</si>
  <si>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</si>
  <si>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</si>
  <si>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</si>
  <si>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</si>
  <si>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</si>
  <si>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</si>
  <si>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</si>
  <si>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</si>
  <si>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</si>
  <si>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</si>
  <si>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</si>
  <si>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</si>
  <si>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</si>
  <si>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</si>
  <si>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</si>
  <si>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</si>
  <si>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</si>
  <si>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</si>
  <si>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</si>
  <si>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</si>
  <si>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</si>
  <si>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</si>
  <si>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</si>
  <si>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</si>
  <si>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</si>
  <si>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</si>
  <si>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</si>
  <si>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</si>
  <si>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</si>
  <si>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</si>
  <si>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2014 Volatile Solid default values for Dairy Cows, Heifers, Heifers-Grazing and Cows-Grazing by State (kg/day/1,000 kg mass)</t>
  </si>
  <si>
    <t>Source: Environmental Protection Agency (EPA)-U.S. Inventory of GHG Sources and Sinks 1990-2014 (2016), Annex 3 Table A-206</t>
  </si>
  <si>
    <t>2013 Volatile Solid default values for Dairy Cows, Heifers, Heifers-Grazing and Cows-Grazing by State (kg/day/1,000 kg mass)</t>
  </si>
  <si>
    <t>Source: Environmental Protection Agency (EPA)-U.S. Inventory of GHG Sources and Sinks 1990-2013 (2015), Annex 3 Table A-206</t>
  </si>
  <si>
    <t>2012 Volatile Solid default values for Dairy Cows, Heifers, Heifers-Grazing and Cows-Grazing by State (kg/day/1,000 kg mass)</t>
  </si>
  <si>
    <t>Source: Environmental Protection Agency (EPA)-U.S. Inventory of GHG Sources and Sinks 1990-2012 (2014), Annex 3 Table A-205</t>
  </si>
  <si>
    <t>2011 Volatile Solid default values for Dairy Cows, Heifers, Heifers-Grazing and Cows-Grazing by State (kg/day/1,000 kg mass)</t>
  </si>
  <si>
    <t>Source: Environmental Protection Agency (EPA)-U.S. Inventory of GHG Sources and Sinks 1990-2011 (2013), Annex 3 Table A-192 pg. A-266</t>
  </si>
  <si>
    <t>2010 Volatile Solid default values for Dairy Cows, Heifers, Heifers-Grazing and Cows-Grazing by State (kg/day/1,000 kg mass)</t>
  </si>
  <si>
    <t>Source: Environmental Protection Agency (EPA)-U.S. Inventory of GHG Sources and Sinks 1990-2010 (2012), Annex A Table A-193 pg. A-237</t>
  </si>
  <si>
    <t>Table XIV.D. IPCC 2006 Methane Conversion Factors by Manure Management System Component/Methane Source</t>
  </si>
  <si>
    <t>From 2006 IPCC Guidelines for National Greenhouse Gas Inventories, Chapter 10: Emissions from Livestock and Manure Management, Table 10.17</t>
  </si>
  <si>
    <t>MCF Values by Temperature for Manure Management Systems</t>
  </si>
  <si>
    <t>MCFs by average annual temperature (°C)</t>
  </si>
  <si>
    <t>Cool</t>
  </si>
  <si>
    <t>Temperate</t>
  </si>
  <si>
    <t>Warm</t>
  </si>
  <si>
    <t>&lt;10</t>
  </si>
  <si>
    <t>&gt;28</t>
  </si>
  <si>
    <t>Comments</t>
  </si>
  <si>
    <t>Judgment of IPCC Expert Group in combination with Hashimoto and Steed (1994).</t>
  </si>
  <si>
    <t>Hashimoto and Steed (1993).</t>
  </si>
  <si>
    <t>Judgment of IPCC Expert Group in combination with Amon et al. (2001), which shows emissions of approximately 2% in winter and 4% in summer. Warm climate is based on judgment of IPCC Expert Group and Amon et al. (1998).</t>
  </si>
  <si>
    <t>Liquid/slurry w/natural crust cover</t>
  </si>
  <si>
    <t>Judgment of IPCC Expert Group in combination with Mangino et al. (2001) and Sommer (2000). The estimated reduction due to the crust cover (40%) is an annual average value based on a limited data set and can be highly variable dependent on temperature, rainfall, and composition.</t>
  </si>
  <si>
    <t>Liquid/slurry uncovered</t>
  </si>
  <si>
    <t xml:space="preserve">Judgment of IPCC Expert Group in combination with Mangino et al. (2001). </t>
  </si>
  <si>
    <t>Judgment of IPCC Expert Group in combination with Mangino et al. (2001). Uncovered lagoon MCFs vary based on several factors, including temperature, retention time, and loss of volatile solids from the system (through removal of lagoon effluent and/or solids).</t>
  </si>
  <si>
    <t>Judgment of IPCC Expert Group in combination with Moller et al. (2004) and Zeeman (1994). Note that the ambient temperature, not the stable temperature is to be used for determining the climatic conditions.</t>
  </si>
  <si>
    <t>Judgment of IPCC Expert Group in combination with Mangino et al. (2001). Note that the ambient temperature, not the stable temperature is to be used for determining the climatic conditions.</t>
  </si>
  <si>
    <t>0 - 1</t>
  </si>
  <si>
    <t>Should be subdivided in different categories, considering amount of recovery of the biogas, flaring of the biogas and storage after digestion. Calculation with Formula 1.</t>
  </si>
  <si>
    <t>Judgment of IPCC Expert Group in combination with Safley et al. (1992).</t>
  </si>
  <si>
    <t>Cattle and swine deep bedding (&lt;1 month)</t>
  </si>
  <si>
    <t>Judgment of IPCC Expert Group in combination with Moller et al. (2004). Expect emissions to be similar, and possibly greater, than pit storage, depending on organic content and moisture content.</t>
  </si>
  <si>
    <t>Cattle and swine deep bedding (&gt;1 month)</t>
  </si>
  <si>
    <t>Judgment of IPCC Expert Group in combination with Mangino et al. (2001).</t>
  </si>
  <si>
    <t>Judgment of IPCC Expert Group and Amon et al. (1998). MCFs are less than half of solid storage. Not temperature dependant.</t>
  </si>
  <si>
    <t>Judgment of IPCC Expert Group and Amon et al. (1998). MCFs are slightly less than solid storage. Less temperature dependant.</t>
  </si>
  <si>
    <t>MCFs are near zero. Aerobic treatment can result in the accumulation of sludge which may be treated in other systems. Sludge requires removal and has large VS values. It is important to identify the next management process for the sludge and estimate the emissions from that management process if significant.</t>
  </si>
  <si>
    <t>Table XIV.E. Carbon Dioxide Emission Factors for Fossil Fuel Use</t>
  </si>
  <si>
    <t>Fuel Type</t>
  </si>
  <si>
    <t>Heat Content</t>
  </si>
  <si>
    <r>
      <t>Carbon Content</t>
    </r>
    <r>
      <rPr>
        <sz val="10"/>
        <color indexed="9"/>
        <rFont val="Arial"/>
        <family val="2"/>
      </rPr>
      <t xml:space="preserve">
(Per Unit Energy)</t>
    </r>
  </si>
  <si>
    <t>Fraction Oxidized</t>
  </si>
  <si>
    <r>
      <t>CO</t>
    </r>
    <r>
      <rPr>
        <b/>
        <vertAlign val="subscript"/>
        <sz val="10"/>
        <color indexed="9"/>
        <rFont val="Arial"/>
        <family val="2"/>
      </rPr>
      <t>2</t>
    </r>
    <r>
      <rPr>
        <b/>
        <sz val="10"/>
        <color indexed="9"/>
        <rFont val="Arial"/>
        <family val="2"/>
      </rPr>
      <t xml:space="preserve"> Emission Factor</t>
    </r>
    <r>
      <rPr>
        <sz val="10"/>
        <color indexed="9"/>
        <rFont val="Arial"/>
        <family val="2"/>
      </rPr>
      <t xml:space="preserve">
(Per Unit Energy)</t>
    </r>
  </si>
  <si>
    <r>
      <t>CO</t>
    </r>
    <r>
      <rPr>
        <b/>
        <vertAlign val="subscript"/>
        <sz val="10"/>
        <color indexed="9"/>
        <rFont val="Arial"/>
        <family val="2"/>
      </rPr>
      <t>2</t>
    </r>
    <r>
      <rPr>
        <b/>
        <sz val="10"/>
        <color indexed="9"/>
        <rFont val="Arial"/>
        <family val="2"/>
      </rPr>
      <t xml:space="preserve"> Emission Factor</t>
    </r>
    <r>
      <rPr>
        <sz val="10"/>
        <color indexed="9"/>
        <rFont val="Arial"/>
        <family val="2"/>
      </rPr>
      <t xml:space="preserve">
(Per Unit Mass or Volume)</t>
    </r>
  </si>
  <si>
    <t>Coal and Coke</t>
  </si>
  <si>
    <t>MMBTU / Short ton</t>
  </si>
  <si>
    <t>kg C / MMBTU</t>
  </si>
  <si>
    <r>
      <t>kg CO</t>
    </r>
    <r>
      <rPr>
        <vertAlign val="subscript"/>
        <sz val="10"/>
        <rFont val="Arial"/>
        <family val="2"/>
      </rPr>
      <t>2</t>
    </r>
    <r>
      <rPr>
        <b/>
        <sz val="10"/>
        <rFont val="Arial"/>
        <family val="2"/>
      </rPr>
      <t xml:space="preserve"> / MMBTU</t>
    </r>
  </si>
  <si>
    <r>
      <t>kg CO</t>
    </r>
    <r>
      <rPr>
        <vertAlign val="subscript"/>
        <sz val="10"/>
        <rFont val="Arial"/>
        <family val="2"/>
      </rPr>
      <t>2</t>
    </r>
    <r>
      <rPr>
        <b/>
        <sz val="10"/>
        <rFont val="Arial"/>
        <family val="2"/>
      </rPr>
      <t xml:space="preserve"> / Short ton</t>
    </r>
  </si>
  <si>
    <t>Anthracite Coal</t>
  </si>
  <si>
    <t>Bituminous Coal</t>
  </si>
  <si>
    <t>Sub-bituminous Coal</t>
  </si>
  <si>
    <t>Lignite</t>
  </si>
  <si>
    <t>Unspecified (Residential/ Commercial)</t>
  </si>
  <si>
    <t>Unspecified (Industrial Coking)</t>
  </si>
  <si>
    <t>Unspecified (Other Industrial)</t>
  </si>
  <si>
    <t>Unspecified (Electric Utility)</t>
  </si>
  <si>
    <t>Coke</t>
  </si>
  <si>
    <r>
      <t xml:space="preserve">Natural Gas </t>
    </r>
    <r>
      <rPr>
        <sz val="10"/>
        <rFont val="Arial"/>
        <family val="2"/>
      </rPr>
      <t>(By Heat Content)</t>
    </r>
  </si>
  <si>
    <t>BTU / Standard cubic foot</t>
  </si>
  <si>
    <r>
      <t>kg CO</t>
    </r>
    <r>
      <rPr>
        <vertAlign val="subscript"/>
        <sz val="10"/>
        <rFont val="Arial"/>
        <family val="2"/>
      </rPr>
      <t>2</t>
    </r>
    <r>
      <rPr>
        <b/>
        <sz val="10"/>
        <rFont val="Arial"/>
        <family val="2"/>
      </rPr>
      <t xml:space="preserve"> / Standard ft</t>
    </r>
    <r>
      <rPr>
        <b/>
        <vertAlign val="superscript"/>
        <sz val="10"/>
        <rFont val="Arial"/>
        <family val="2"/>
      </rPr>
      <t>3</t>
    </r>
  </si>
  <si>
    <t>975 to 1,000 Btu / Std cubic foot</t>
  </si>
  <si>
    <t>975 – 1,000</t>
  </si>
  <si>
    <t>Varies</t>
  </si>
  <si>
    <t>1,000 to 1,025 Btu / Std cubic foot</t>
  </si>
  <si>
    <t>1,000 – 1,025</t>
  </si>
  <si>
    <t xml:space="preserve">1,025 to 1,050 Btu / Std cubic foot </t>
  </si>
  <si>
    <t>1,025 – 1,050</t>
  </si>
  <si>
    <t>1,050 to 1,075 Btu / Std cubic foot</t>
  </si>
  <si>
    <t>1,050 – 1,075</t>
  </si>
  <si>
    <t>1,075 to 1,100 Btu / Std cubic foot</t>
  </si>
  <si>
    <t>1,075 – 1,100</t>
  </si>
  <si>
    <t>Greater than 1,100 Btu / Std cubic foot</t>
  </si>
  <si>
    <t>&gt; 1,100</t>
  </si>
  <si>
    <t>Petroleum Products</t>
  </si>
  <si>
    <t>MMBTU / Barrel</t>
  </si>
  <si>
    <r>
      <t>kg CO</t>
    </r>
    <r>
      <rPr>
        <vertAlign val="subscript"/>
        <sz val="10"/>
        <rFont val="Arial"/>
        <family val="2"/>
      </rPr>
      <t>2</t>
    </r>
    <r>
      <rPr>
        <b/>
        <sz val="10"/>
        <rFont val="Arial"/>
        <family val="2"/>
      </rPr>
      <t xml:space="preserve"> / gallon</t>
    </r>
  </si>
  <si>
    <t>Asphalt &amp; Road Oil</t>
  </si>
  <si>
    <t>Aviation Gasoline</t>
  </si>
  <si>
    <t>Distillate Fuel Oil (#1, 2 &amp; 4) (diesel)</t>
  </si>
  <si>
    <t>Jet Fuel</t>
  </si>
  <si>
    <t xml:space="preserve">   Propane </t>
  </si>
  <si>
    <t xml:space="preserve">   Ethane</t>
  </si>
  <si>
    <t xml:space="preserve">   Isobutene</t>
  </si>
  <si>
    <t xml:space="preserve">   n-Butane</t>
  </si>
  <si>
    <t>Lubricants</t>
  </si>
  <si>
    <t>Residual Fuel Oil (#5 &amp; 6)</t>
  </si>
  <si>
    <t>Crude Oil</t>
  </si>
  <si>
    <t>Naphtha (&lt;401 deg. F)</t>
  </si>
  <si>
    <t>Natural Gasoline</t>
  </si>
  <si>
    <t>Other Oil (&gt;401 deg. F)</t>
  </si>
  <si>
    <t xml:space="preserve">Pentanes Plus </t>
  </si>
  <si>
    <t>Petrochemical Feedstocks</t>
  </si>
  <si>
    <t>Petroleum Coke</t>
  </si>
  <si>
    <t>Still Gas</t>
  </si>
  <si>
    <t>Special Naphtha</t>
  </si>
  <si>
    <t>Unfinished Oils</t>
  </si>
  <si>
    <t>Waxes</t>
  </si>
  <si>
    <t>Source: EPA Climate Leaders, Stationary Combustion Guidance (2007), Table B-2 except:</t>
  </si>
  <si>
    <r>
      <t>Default CO</t>
    </r>
    <r>
      <rPr>
        <vertAlign val="subscript"/>
        <sz val="10"/>
        <rFont val="Arial"/>
        <family val="2"/>
      </rPr>
      <t>2</t>
    </r>
    <r>
      <rPr>
        <sz val="10"/>
        <rFont val="Arial"/>
        <family val="2"/>
      </rPr>
      <t xml:space="preserve"> emission factors (per unit energy) are calculated as: Carbon Content × Fraction Oxidized × 44/12. </t>
    </r>
  </si>
  <si>
    <r>
      <t>Default CO</t>
    </r>
    <r>
      <rPr>
        <vertAlign val="subscript"/>
        <sz val="10"/>
        <rFont val="Arial"/>
        <family val="2"/>
      </rPr>
      <t>2</t>
    </r>
    <r>
      <rPr>
        <sz val="10"/>
        <rFont val="Arial"/>
        <family val="2"/>
      </rPr>
      <t xml:space="preserve"> emission factors (per unit mass or volume) are calculated as: Heat Content x Carbon Content × Fraction Oxidized × 44/12× Conversion Factor (if applicable). Heat content factors are based on higher heating values (HHV).</t>
    </r>
  </si>
  <si>
    <t>Table XIV.E. Carbon Dioxide Emission Factors for Commonly-Used Fossil Fuels</t>
  </si>
  <si>
    <t>Table XIV.F eGRID Subregions</t>
  </si>
  <si>
    <t>Specific emission factors for each year can be found at http://www.epa.gov/cleanenergy/energy-resources/egrid/index.html</t>
  </si>
  <si>
    <t>eGRID Subregion Acronym</t>
  </si>
  <si>
    <t>eGRID Subregion Name</t>
  </si>
  <si>
    <t>AKGD</t>
  </si>
  <si>
    <t>ASCC Alaska Grid</t>
  </si>
  <si>
    <t>AKMS</t>
  </si>
  <si>
    <t>ASCC Miscellaneous</t>
  </si>
  <si>
    <t>AZNM</t>
  </si>
  <si>
    <t>WECC Southwest</t>
  </si>
  <si>
    <t>CAMX</t>
  </si>
  <si>
    <t>WECC California</t>
  </si>
  <si>
    <t>ERCT</t>
  </si>
  <si>
    <t>ERCOT All</t>
  </si>
  <si>
    <t>FRCC</t>
  </si>
  <si>
    <t>FRCC All</t>
  </si>
  <si>
    <t>HIMS</t>
  </si>
  <si>
    <t>HICC Miscellaneous</t>
  </si>
  <si>
    <t>HIOA</t>
  </si>
  <si>
    <t>HICC Oahu</t>
  </si>
  <si>
    <t>MORE</t>
  </si>
  <si>
    <t>MRO East</t>
  </si>
  <si>
    <t>MROW</t>
  </si>
  <si>
    <t>MRO West</t>
  </si>
  <si>
    <t>NEWE</t>
  </si>
  <si>
    <t>NPCC New England</t>
  </si>
  <si>
    <t>NWPP</t>
  </si>
  <si>
    <t>WECC Northwest</t>
  </si>
  <si>
    <t>NYCW</t>
  </si>
  <si>
    <t>NPCC NYC/Westchester</t>
  </si>
  <si>
    <t>NYLI</t>
  </si>
  <si>
    <t>NPCC Long Island</t>
  </si>
  <si>
    <t>NYUP</t>
  </si>
  <si>
    <t>NPCC Upstate NY</t>
  </si>
  <si>
    <t>RFCE</t>
  </si>
  <si>
    <t>RFC East</t>
  </si>
  <si>
    <t>RFCM</t>
  </si>
  <si>
    <t>RFC Michigan</t>
  </si>
  <si>
    <t>RFCW</t>
  </si>
  <si>
    <t>RFC West</t>
  </si>
  <si>
    <t>RMPA</t>
  </si>
  <si>
    <t>WECC Rockies</t>
  </si>
  <si>
    <t>SPNO</t>
  </si>
  <si>
    <t>SPP North</t>
  </si>
  <si>
    <t>SPSO</t>
  </si>
  <si>
    <t>SPP South</t>
  </si>
  <si>
    <t>SRMV</t>
  </si>
  <si>
    <t>SERC Mississippi Valley</t>
  </si>
  <si>
    <t>SRMW</t>
  </si>
  <si>
    <t>SERC Midwest</t>
  </si>
  <si>
    <t>SRSO</t>
  </si>
  <si>
    <t>SERC South</t>
  </si>
  <si>
    <t>SRTV</t>
  </si>
  <si>
    <t>SERC Tennessee Valley</t>
  </si>
  <si>
    <t>SRVC</t>
  </si>
  <si>
    <t>SERC Virginia/Carolina</t>
  </si>
  <si>
    <t>Table XIV.G Biogas Collection Efficiency by Digester Type</t>
  </si>
  <si>
    <t>Protocol Table B.4</t>
  </si>
  <si>
    <t>Digester Category</t>
  </si>
  <si>
    <t>Digester Type(s)</t>
  </si>
  <si>
    <t>Cover Type</t>
  </si>
  <si>
    <t>Biogas Collection Efficiency (BCE) as a decimal</t>
  </si>
  <si>
    <t>Covered lagoon (complete)</t>
  </si>
  <si>
    <t>Fully-covered anaerobic lagoon</t>
  </si>
  <si>
    <t>Bank-to-bank, impermeable</t>
  </si>
  <si>
    <t>Enclosed vessel</t>
  </si>
  <si>
    <t>Complete mix, plug flow, or fixed film digester</t>
  </si>
  <si>
    <t>Other</t>
  </si>
  <si>
    <t>Partial area covered lagoons, multistage digesters of different types (with or without metering)</t>
  </si>
  <si>
    <t>See protocol table B.3</t>
  </si>
  <si>
    <t>Table B.9. Volatile Solids Removed Through Solids Separation</t>
  </si>
  <si>
    <t>Type of Solids Separation</t>
  </si>
  <si>
    <t>Volatile Solids Removed (fraction)</t>
  </si>
  <si>
    <t>Gravity</t>
  </si>
  <si>
    <t>Mechanical</t>
  </si>
  <si>
    <t>Stationary screen</t>
  </si>
  <si>
    <t>Vibrating screen</t>
  </si>
  <si>
    <t>Screw press</t>
  </si>
  <si>
    <t>Centrifuge</t>
  </si>
  <si>
    <t>Roller drum</t>
  </si>
  <si>
    <t>Belt press/screen</t>
  </si>
  <si>
    <t>Table B.10. Baseline Assumptions for Greenfield Projects</t>
  </si>
  <si>
    <t>Baseline Assumption</t>
  </si>
  <si>
    <t>Dairy Cattle Operations</t>
  </si>
  <si>
    <t>Swine Operations</t>
  </si>
  <si>
    <t>&gt;200 Mature Dairy Cows</t>
  </si>
  <si>
    <t>&lt;200 Mature Dairy Cows</t>
  </si>
  <si>
    <t>Anaerobic manure storage system</t>
  </si>
  <si>
    <t>Flush system into an anaerobic lagoon with &gt;30 day retention time</t>
  </si>
  <si>
    <t>Non-anaerobic manure storage system(s)</t>
  </si>
  <si>
    <t>Solids storage</t>
  </si>
  <si>
    <r>
      <t>MS</t>
    </r>
    <r>
      <rPr>
        <b/>
        <vertAlign val="subscript"/>
        <sz val="10"/>
        <rFont val="Arial"/>
        <family val="2"/>
      </rPr>
      <t>L</t>
    </r>
  </si>
  <si>
    <t>90% lagoon
10% solids storage</t>
  </si>
  <si>
    <t>50% lagoon
50% solids storage</t>
  </si>
  <si>
    <t>95% lagoon
5% solids storage</t>
  </si>
  <si>
    <t>Lagoon cleaning schedule</t>
  </si>
  <si>
    <t>Annually, in September</t>
  </si>
  <si>
    <t>Order</t>
  </si>
  <si>
    <t>Months</t>
  </si>
  <si>
    <t>Days per month</t>
  </si>
  <si>
    <t>January</t>
  </si>
  <si>
    <t>February</t>
  </si>
  <si>
    <t>March</t>
  </si>
  <si>
    <t>April</t>
  </si>
  <si>
    <t>May</t>
  </si>
  <si>
    <t>June</t>
  </si>
  <si>
    <t>July</t>
  </si>
  <si>
    <t>August</t>
  </si>
  <si>
    <t>September</t>
  </si>
  <si>
    <t>October</t>
  </si>
  <si>
    <t>November</t>
  </si>
  <si>
    <t>December</t>
  </si>
  <si>
    <t>Global Warming Potentials (IPCC 4th Assessment Report)</t>
  </si>
  <si>
    <t>Methane</t>
  </si>
  <si>
    <t>Nitrous oxide</t>
  </si>
  <si>
    <t>Summary of Changes from V4.0h to V4.0i - April 2025</t>
  </si>
  <si>
    <t>Summary of Changes from V4.0g to V4.0h - July 13, 2022</t>
  </si>
  <si>
    <t>- The Global Warming Potentials for methane (cell C528) and nitrous oxide (cell C529) were updated to the IPCC's 5th Assessment Report values.</t>
  </si>
  <si>
    <t>- Methane GWP value was updated from 25 (AR4) to 28 (AR5)</t>
  </si>
  <si>
    <t xml:space="preserve"> - Nitrous oxide GWP value was updated from 298 (AR4) to 265 (AR5)</t>
  </si>
  <si>
    <t xml:space="preserve"> - corrected autopopulated data across the calculation tool</t>
  </si>
  <si>
    <t>Beta Version 4.0i- April 2025</t>
  </si>
  <si>
    <r>
      <t xml:space="preserve">2022 </t>
    </r>
    <r>
      <rPr>
        <b/>
        <vertAlign val="superscript"/>
        <sz val="10"/>
        <rFont val="Arial"/>
        <family val="2"/>
      </rPr>
      <t>b,d</t>
    </r>
  </si>
  <si>
    <t>d Environmental Protection Agency (EPA), Inventory of US GHG Emissions and Sinks 1990-2020 (2022), Annex 3, Table A-132</t>
  </si>
  <si>
    <t>Default Volatile Solids (VS) for Dairy Cows, Heifers, Heifers-Grazing and Cows-Grazing by State (kg/day/1,000 kg mass) for 2022</t>
  </si>
  <si>
    <t>Source: Environmental Protection Agency (EPA)-U.S. Inventory of GHG Sources and Sinks 1990-2022 (2024), Annex 3 Table A-158.</t>
  </si>
  <si>
    <t xml:space="preserve"> - Updated values for VS and TAM based on US GHG Inventory for 2022</t>
  </si>
  <si>
    <t>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</si>
</sst>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00"/>
    <numFmt numFmtId="165" formatCode="0.0"/>
    <numFmt numFmtId="166" formatCode="#,##0.000"/>
    <numFmt numFmtId="167" formatCode="_(* #,##0_);_(* \(#,##0\);_(* &quot;-&quot;??_);_(@_)"/>
  </numFmts>
  <fonts count="44" x14ac:knownFonts="1">
    <font>
      <sz val="10"/>
      <name val="Arial"/>
    </font>
    <font>
      <sz val="10"/>
      <name val="Arial"/>
      <family val="2"/>
    </font>
    <font>
      <sz val="8"/>
      <name val="Arial"/>
      <family val="2"/>
    </font>
    <font>
      <b/>
      <sz val="12"/>
      <name val="Arial"/>
      <family val="2"/>
    </font>
    <font>
      <b/>
      <vertAlign val="subscript"/>
      <sz val="12"/>
      <name val="Arial"/>
      <family val="2"/>
    </font>
    <font>
      <b/>
      <sz val="14"/>
      <name val="Arial"/>
      <family val="2"/>
    </font>
    <font>
      <i/>
      <sz val="10"/>
      <name val="Arial"/>
      <family val="2"/>
    </font>
    <font>
      <u/>
      <sz val="10"/>
      <name val="Arial"/>
      <family val="2"/>
    </font>
    <font>
      <sz val="8"/>
      <name val="Arial"/>
      <family val="2"/>
    </font>
    <font>
      <b/>
      <sz val="10"/>
      <name val="Arial"/>
      <family val="2"/>
    </font>
    <font>
      <sz val="10"/>
      <color theme="0"/>
      <name val="Arial"/>
      <family val="2"/>
    </font>
    <font>
      <b/>
      <sz val="10"/>
      <color indexed="52"/>
      <name val="Arial"/>
      <family val="2"/>
    </font>
    <font>
      <b/>
      <i/>
      <sz val="10"/>
      <name val="Arial"/>
      <family val="2"/>
    </font>
    <font>
      <b/>
      <sz val="10"/>
      <color indexed="10"/>
      <name val="Arial"/>
      <family val="2"/>
    </font>
    <font>
      <sz val="10"/>
      <color indexed="10"/>
      <name val="Arial"/>
      <family val="2"/>
    </font>
    <font>
      <b/>
      <sz val="12"/>
      <color theme="0"/>
      <name val="Arial"/>
      <family val="2"/>
    </font>
    <font>
      <b/>
      <u/>
      <sz val="10"/>
      <name val="Arial"/>
      <family val="2"/>
    </font>
    <font>
      <b/>
      <u/>
      <sz val="11"/>
      <name val="Arial"/>
      <family val="2"/>
    </font>
    <font>
      <b/>
      <vertAlign val="subscript"/>
      <sz val="10"/>
      <color indexed="10"/>
      <name val="Arial"/>
      <family val="2"/>
    </font>
    <font>
      <b/>
      <vertAlign val="superscript"/>
      <sz val="10"/>
      <name val="Arial"/>
      <family val="2"/>
    </font>
    <font>
      <b/>
      <vertAlign val="subscript"/>
      <sz val="10"/>
      <name val="Arial"/>
      <family val="2"/>
    </font>
    <font>
      <vertAlign val="superscript"/>
      <sz val="10"/>
      <name val="Arial"/>
      <family val="2"/>
    </font>
    <font>
      <sz val="10"/>
      <color rgb="FFFF0000"/>
      <name val="Arial"/>
      <family val="2"/>
    </font>
    <font>
      <vertAlign val="subscript"/>
      <sz val="10"/>
      <name val="Arial"/>
      <family val="2"/>
    </font>
    <font>
      <i/>
      <sz val="10"/>
      <color indexed="10"/>
      <name val="Arial"/>
      <family val="2"/>
    </font>
    <font>
      <b/>
      <u/>
      <sz val="12"/>
      <name val="Arial"/>
      <family val="2"/>
    </font>
    <font>
      <u/>
      <sz val="12"/>
      <name val="Arial"/>
      <family val="2"/>
    </font>
    <font>
      <sz val="10"/>
      <color indexed="9"/>
      <name val="Arial"/>
      <family val="2"/>
    </font>
    <font>
      <sz val="10"/>
      <color indexed="22"/>
      <name val="Arial"/>
      <family val="2"/>
    </font>
    <font>
      <b/>
      <u/>
      <vertAlign val="subscript"/>
      <sz val="12"/>
      <name val="Arial"/>
      <family val="2"/>
    </font>
    <font>
      <u/>
      <sz val="10"/>
      <color indexed="10"/>
      <name val="Arial"/>
      <family val="2"/>
    </font>
    <font>
      <vertAlign val="subscript"/>
      <sz val="10"/>
      <color indexed="10"/>
      <name val="Arial"/>
      <family val="2"/>
    </font>
    <font>
      <b/>
      <sz val="10"/>
      <color rgb="FFFF0000"/>
      <name val="Arial"/>
      <family val="2"/>
    </font>
    <font>
      <b/>
      <sz val="10"/>
      <color theme="0"/>
      <name val="Arial"/>
      <family val="2"/>
    </font>
    <font>
      <b/>
      <sz val="10"/>
      <color rgb="FFFFFFFF"/>
      <name val="Arial"/>
      <family val="2"/>
    </font>
    <font>
      <b/>
      <vertAlign val="subscript"/>
      <sz val="10"/>
      <color indexed="9"/>
      <name val="Arial"/>
      <family val="2"/>
    </font>
    <font>
      <b/>
      <sz val="10"/>
      <color indexed="9"/>
      <name val="Arial"/>
      <family val="2"/>
    </font>
    <font>
      <sz val="10"/>
      <name val="Arial"/>
      <family val="2"/>
    </font>
    <font>
      <b/>
      <sz val="16"/>
      <name val="Arial"/>
      <family val="2"/>
    </font>
    <font>
      <i/>
      <sz val="10"/>
      <color rgb="FFFF0000"/>
      <name val="Arial"/>
      <family val="2"/>
    </font>
    <font>
      <b/>
      <i/>
      <sz val="10"/>
      <color rgb="FFFF0000"/>
      <name val="Arial"/>
      <family val="2"/>
    </font>
    <font>
      <vertAlign val="superscript"/>
      <sz val="12"/>
      <name val="Arial"/>
      <family val="2"/>
    </font>
    <font>
      <vertAlign val="superscript"/>
      <sz val="12"/>
      <color theme="1"/>
      <name val="Arial"/>
      <family val="2"/>
    </font>
    <font>
      <sz val="12"/>
      <name val="Arial"/>
      <family val="2"/>
    </font>
  </fonts>
  <fills count="28">
    <fill>
      <patternFill patternType="none"/>
    </fill>
    <fill>
      <patternFill patternType="gray125"/>
    </fill>
    <fill>
      <patternFill patternType="solid">
        <fgColor indexed="13"/>
        <bgColor indexed="64"/>
      </patternFill>
    </fill>
    <fill>
      <patternFill patternType="solid">
        <fgColor indexed="50"/>
        <bgColor indexed="64"/>
      </patternFill>
    </fill>
    <fill>
      <patternFill patternType="solid">
        <fgColor indexed="44"/>
        <bgColor indexed="64"/>
      </patternFill>
    </fill>
    <fill>
      <patternFill patternType="solid">
        <fgColor indexed="42"/>
        <bgColor indexed="64"/>
      </patternFill>
    </fill>
    <fill>
      <patternFill patternType="solid">
        <fgColor indexed="45"/>
        <bgColor indexed="64"/>
      </patternFill>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E6E6E6"/>
        <bgColor indexed="64"/>
      </patternFill>
    </fill>
    <fill>
      <patternFill patternType="solid">
        <fgColor rgb="FF2790CE"/>
        <bgColor indexed="64"/>
      </patternFill>
    </fill>
    <fill>
      <patternFill patternType="solid">
        <fgColor rgb="FFFF0000"/>
        <bgColor indexed="64"/>
      </patternFill>
    </fill>
    <fill>
      <patternFill patternType="solid">
        <fgColor rgb="FFFFFF00"/>
        <bgColor indexed="64"/>
      </patternFill>
    </fill>
    <fill>
      <patternFill patternType="solid">
        <fgColor rgb="FF7F7F7F"/>
        <bgColor indexed="64"/>
      </patternFill>
    </fill>
    <fill>
      <patternFill patternType="solid">
        <fgColor rgb="FF92D050"/>
        <bgColor indexed="64"/>
      </patternFill>
    </fill>
    <fill>
      <patternFill patternType="solid">
        <fgColor theme="1" tint="0.499984740745262"/>
        <bgColor indexed="64"/>
      </patternFill>
    </fill>
    <fill>
      <patternFill patternType="solid">
        <fgColor rgb="FF99CCFF"/>
        <bgColor indexed="64"/>
      </patternFill>
    </fill>
    <fill>
      <patternFill patternType="solid">
        <fgColor theme="9"/>
        <bgColor indexed="64"/>
      </patternFill>
    </fill>
    <fill>
      <patternFill patternType="solid">
        <fgColor rgb="FFFFFFCC"/>
        <bgColor indexed="64"/>
      </patternFill>
    </fill>
    <fill>
      <patternFill patternType="solid">
        <fgColor theme="6"/>
        <bgColor indexed="64"/>
      </patternFill>
    </fill>
    <fill>
      <patternFill patternType="solid">
        <fgColor rgb="FFFF99CC"/>
        <bgColor indexed="64"/>
      </patternFill>
    </fill>
    <fill>
      <patternFill patternType="solid">
        <fgColor theme="0" tint="-0.14999847407452621"/>
        <bgColor indexed="64"/>
      </patternFill>
    </fill>
    <fill>
      <patternFill patternType="solid">
        <fgColor rgb="FFBFBFBF"/>
        <bgColor rgb="FF000000"/>
      </patternFill>
    </fill>
    <fill>
      <patternFill patternType="solid">
        <fgColor rgb="FFFFFFFF"/>
        <bgColor rgb="FF000000"/>
      </patternFill>
    </fill>
  </fills>
  <borders count="66">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8"/>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style="thin">
        <color indexed="64"/>
      </left>
      <right/>
      <top/>
      <bottom/>
      <diagonal/>
    </border>
    <border>
      <left/>
      <right/>
      <top/>
      <bottom style="thin">
        <color indexed="64"/>
      </bottom>
      <diagonal/>
    </border>
    <border>
      <left/>
      <right/>
      <top style="thin">
        <color indexed="64"/>
      </top>
      <bottom/>
      <diagonal/>
    </border>
    <border>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top style="thin">
        <color theme="0" tint="-0.34998626667073579"/>
      </top>
      <bottom/>
      <diagonal/>
    </border>
    <border>
      <left/>
      <right/>
      <top style="thin">
        <color theme="0" tint="-0.24994659260841701"/>
      </top>
      <bottom/>
      <diagonal/>
    </border>
    <border>
      <left/>
      <right/>
      <top style="medium">
        <color indexed="64"/>
      </top>
      <bottom style="thin">
        <color indexed="64"/>
      </bottom>
      <diagonal/>
    </border>
    <border>
      <left style="medium">
        <color theme="9"/>
      </left>
      <right style="medium">
        <color theme="9"/>
      </right>
      <top style="medium">
        <color theme="9"/>
      </top>
      <bottom style="medium">
        <color theme="9"/>
      </bottom>
      <diagonal/>
    </border>
    <border>
      <left style="medium">
        <color theme="9"/>
      </left>
      <right style="medium">
        <color theme="9"/>
      </right>
      <top style="medium">
        <color theme="9"/>
      </top>
      <bottom/>
      <diagonal/>
    </border>
    <border>
      <left style="medium">
        <color theme="9"/>
      </left>
      <right style="medium">
        <color theme="9"/>
      </right>
      <top/>
      <bottom/>
      <diagonal/>
    </border>
    <border>
      <left style="medium">
        <color theme="9"/>
      </left>
      <right style="medium">
        <color theme="9"/>
      </right>
      <top/>
      <bottom style="medium">
        <color theme="9"/>
      </bottom>
      <diagonal/>
    </border>
    <border>
      <left style="medium">
        <color theme="9"/>
      </left>
      <right/>
      <top style="medium">
        <color theme="9"/>
      </top>
      <bottom style="medium">
        <color theme="9"/>
      </bottom>
      <diagonal/>
    </border>
    <border>
      <left/>
      <right style="medium">
        <color theme="9"/>
      </right>
      <top style="medium">
        <color theme="9"/>
      </top>
      <bottom style="medium">
        <color theme="9"/>
      </bottom>
      <diagonal/>
    </border>
    <border>
      <left/>
      <right style="thin">
        <color indexed="64"/>
      </right>
      <top/>
      <bottom style="medium">
        <color indexed="64"/>
      </bottom>
      <diagonal/>
    </border>
    <border>
      <left/>
      <right style="medium">
        <color theme="9"/>
      </right>
      <top/>
      <bottom/>
      <diagonal/>
    </border>
    <border>
      <left/>
      <right style="medium">
        <color theme="9"/>
      </right>
      <top/>
      <bottom style="medium">
        <color theme="9"/>
      </bottom>
      <diagonal/>
    </border>
    <border>
      <left/>
      <right style="medium">
        <color theme="9"/>
      </right>
      <top style="medium">
        <color theme="9"/>
      </top>
      <bottom/>
      <diagonal/>
    </border>
    <border>
      <left style="medium">
        <color theme="9"/>
      </left>
      <right/>
      <top style="medium">
        <color theme="9"/>
      </top>
      <bottom/>
      <diagonal/>
    </border>
    <border>
      <left style="medium">
        <color theme="9"/>
      </left>
      <right/>
      <top/>
      <bottom/>
      <diagonal/>
    </border>
    <border>
      <left style="medium">
        <color theme="9"/>
      </left>
      <right/>
      <top/>
      <bottom style="medium">
        <color theme="9"/>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medium">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43" fontId="37" fillId="0" borderId="0" applyFont="0" applyFill="0" applyBorder="0" applyAlignment="0" applyProtection="0"/>
  </cellStyleXfs>
  <cellXfs count="652">
    <xf numFmtId="0" fontId="0" fillId="0" borderId="0" xfId="0"/>
    <xf numFmtId="0" fontId="10" fillId="0" borderId="0" xfId="0" applyFont="1" applyAlignment="1" applyProtection="1">
      <alignment horizontal="left" vertical="top" wrapText="1"/>
      <protection hidden="1"/>
    </xf>
    <xf numFmtId="0" fontId="7" fillId="0" borderId="46" xfId="0" applyFont="1" applyBorder="1" applyAlignment="1" applyProtection="1">
      <alignment horizontal="left" vertical="top" wrapText="1"/>
      <protection locked="0"/>
    </xf>
    <xf numFmtId="0" fontId="9" fillId="0" borderId="0" xfId="0" applyFont="1"/>
    <xf numFmtId="0" fontId="9" fillId="0" borderId="0" xfId="0" applyFont="1" applyAlignment="1">
      <alignment horizontal="center"/>
    </xf>
    <xf numFmtId="0" fontId="11" fillId="14" borderId="0" xfId="0" applyFont="1" applyFill="1" applyAlignment="1">
      <alignment wrapText="1"/>
    </xf>
    <xf numFmtId="0" fontId="15" fillId="14" borderId="0" xfId="0" applyFont="1" applyFill="1" applyAlignment="1">
      <alignment wrapText="1"/>
    </xf>
    <xf numFmtId="0" fontId="1" fillId="0" borderId="0" xfId="0" applyFont="1" applyAlignment="1">
      <alignment horizontal="left" vertical="top" wrapText="1"/>
    </xf>
    <xf numFmtId="0" fontId="1" fillId="0" borderId="0" xfId="0" applyFont="1" applyAlignment="1" applyProtection="1">
      <alignment vertical="top" wrapText="1"/>
      <protection locked="0"/>
    </xf>
    <xf numFmtId="0" fontId="1" fillId="0" borderId="0" xfId="0" applyFont="1" applyAlignment="1" applyProtection="1">
      <alignment horizontal="left" vertical="top"/>
      <protection locked="0"/>
    </xf>
    <xf numFmtId="0" fontId="1" fillId="0" borderId="0" xfId="0" applyFont="1" applyAlignment="1" applyProtection="1">
      <alignment horizontal="left" vertical="top" wrapText="1"/>
      <protection locked="0"/>
    </xf>
    <xf numFmtId="0" fontId="1" fillId="0" borderId="0" xfId="0" applyFont="1" applyAlignment="1" applyProtection="1">
      <alignment vertical="top"/>
      <protection locked="0"/>
    </xf>
    <xf numFmtId="0" fontId="3" fillId="0" borderId="47" xfId="0" applyFont="1" applyBorder="1"/>
    <xf numFmtId="0" fontId="1" fillId="0" borderId="0" xfId="0" applyFont="1"/>
    <xf numFmtId="0" fontId="13" fillId="0" borderId="0" xfId="0" applyFont="1"/>
    <xf numFmtId="0" fontId="5" fillId="0" borderId="0" xfId="0" applyFont="1"/>
    <xf numFmtId="0" fontId="16" fillId="0" borderId="0" xfId="0" applyFont="1"/>
    <xf numFmtId="0" fontId="9" fillId="2" borderId="19" xfId="0" applyFont="1" applyFill="1" applyBorder="1"/>
    <xf numFmtId="0" fontId="1" fillId="2" borderId="19" xfId="0" applyFont="1" applyFill="1" applyBorder="1" applyAlignment="1">
      <alignment horizontal="left"/>
    </xf>
    <xf numFmtId="2" fontId="1" fillId="2" borderId="14" xfId="0" applyNumberFormat="1" applyFont="1" applyFill="1" applyBorder="1"/>
    <xf numFmtId="0" fontId="9" fillId="21" borderId="19" xfId="0" applyFont="1" applyFill="1" applyBorder="1"/>
    <xf numFmtId="0" fontId="1" fillId="21" borderId="19" xfId="0" applyFont="1" applyFill="1" applyBorder="1" applyAlignment="1">
      <alignment horizontal="left"/>
    </xf>
    <xf numFmtId="2" fontId="1" fillId="21" borderId="14" xfId="0" applyNumberFormat="1" applyFont="1" applyFill="1" applyBorder="1"/>
    <xf numFmtId="0" fontId="9" fillId="11" borderId="19" xfId="0" applyFont="1" applyFill="1" applyBorder="1"/>
    <xf numFmtId="0" fontId="1" fillId="11" borderId="19" xfId="0" applyFont="1" applyFill="1" applyBorder="1" applyAlignment="1">
      <alignment horizontal="left"/>
    </xf>
    <xf numFmtId="2" fontId="1" fillId="11" borderId="14" xfId="0" applyNumberFormat="1" applyFont="1" applyFill="1" applyBorder="1"/>
    <xf numFmtId="0" fontId="1" fillId="0" borderId="0" xfId="0" applyFont="1" applyAlignment="1">
      <alignment horizontal="left"/>
    </xf>
    <xf numFmtId="2" fontId="1" fillId="0" borderId="0" xfId="0" applyNumberFormat="1" applyFont="1"/>
    <xf numFmtId="0" fontId="1" fillId="0" borderId="47" xfId="0" applyFont="1" applyBorder="1"/>
    <xf numFmtId="0" fontId="16" fillId="0" borderId="47" xfId="0" applyFont="1" applyBorder="1"/>
    <xf numFmtId="166" fontId="1" fillId="0" borderId="47" xfId="0" applyNumberFormat="1" applyFont="1" applyBorder="1"/>
    <xf numFmtId="0" fontId="1" fillId="0" borderId="47" xfId="0" applyFont="1" applyBorder="1" applyAlignment="1" applyProtection="1">
      <alignment horizontal="left" vertical="top" wrapText="1"/>
      <protection locked="0"/>
    </xf>
    <xf numFmtId="0" fontId="16" fillId="0" borderId="0" xfId="0" applyFont="1" applyAlignment="1">
      <alignment vertical="center"/>
    </xf>
    <xf numFmtId="0" fontId="17" fillId="0" borderId="0" xfId="0" applyFont="1" applyAlignment="1">
      <alignment vertical="center"/>
    </xf>
    <xf numFmtId="0" fontId="1" fillId="0" borderId="0" xfId="0" applyFont="1" applyAlignment="1">
      <alignment vertical="center" wrapText="1"/>
    </xf>
    <xf numFmtId="0" fontId="1" fillId="2" borderId="3" xfId="0" applyFont="1" applyFill="1" applyBorder="1" applyAlignment="1" applyProtection="1">
      <alignment horizontal="center"/>
      <protection locked="0"/>
    </xf>
    <xf numFmtId="0" fontId="1" fillId="0" borderId="0" xfId="0" applyFont="1" applyAlignment="1">
      <alignment wrapText="1"/>
    </xf>
    <xf numFmtId="0" fontId="12" fillId="0" borderId="0" xfId="0" applyFont="1" applyAlignment="1">
      <alignment wrapText="1"/>
    </xf>
    <xf numFmtId="0" fontId="6" fillId="0" borderId="0" xfId="0" applyFont="1" applyAlignment="1">
      <alignment vertical="center" wrapText="1"/>
    </xf>
    <xf numFmtId="0" fontId="9" fillId="0" borderId="0" xfId="0" applyFont="1" applyAlignment="1">
      <alignment horizontal="center" vertical="center"/>
    </xf>
    <xf numFmtId="0" fontId="1" fillId="2" borderId="3" xfId="0" applyFont="1" applyFill="1" applyBorder="1" applyProtection="1">
      <protection locked="0"/>
    </xf>
    <xf numFmtId="166" fontId="1" fillId="0" borderId="0" xfId="0" applyNumberFormat="1" applyFont="1"/>
    <xf numFmtId="0" fontId="1" fillId="0" borderId="0" xfId="0" applyFont="1" applyAlignment="1">
      <alignment horizontal="left" vertical="top"/>
    </xf>
    <xf numFmtId="0" fontId="3" fillId="0" borderId="47" xfId="0" applyFont="1" applyBorder="1" applyAlignment="1">
      <alignment vertical="center"/>
    </xf>
    <xf numFmtId="0" fontId="9" fillId="0" borderId="47" xfId="0" applyFont="1" applyBorder="1" applyAlignment="1">
      <alignment vertical="center"/>
    </xf>
    <xf numFmtId="0" fontId="1" fillId="0" borderId="47" xfId="0" applyFont="1" applyBorder="1" applyAlignment="1">
      <alignment horizontal="center"/>
    </xf>
    <xf numFmtId="0" fontId="1" fillId="0" borderId="0" xfId="0" applyFont="1" applyAlignment="1">
      <alignment horizontal="center"/>
    </xf>
    <xf numFmtId="0" fontId="1" fillId="0" borderId="0" xfId="0" applyFont="1" applyAlignment="1">
      <alignment vertical="center"/>
    </xf>
    <xf numFmtId="0" fontId="1" fillId="0" borderId="0" xfId="0" applyFont="1" applyAlignment="1">
      <alignment horizontal="center" vertical="center"/>
    </xf>
    <xf numFmtId="0" fontId="9" fillId="0" borderId="49" xfId="0" applyFont="1" applyBorder="1" applyAlignment="1">
      <alignment horizontal="center"/>
    </xf>
    <xf numFmtId="0" fontId="1" fillId="7" borderId="51" xfId="0" applyFont="1" applyFill="1" applyBorder="1"/>
    <xf numFmtId="0" fontId="1" fillId="0" borderId="0" xfId="0" applyFont="1" applyAlignment="1">
      <alignment vertical="top" wrapText="1"/>
    </xf>
    <xf numFmtId="0" fontId="9" fillId="0" borderId="0" xfId="0" applyFont="1" applyAlignment="1">
      <alignment horizontal="center" vertical="top" wrapText="1"/>
    </xf>
    <xf numFmtId="0" fontId="1" fillId="0" borderId="0" xfId="0" applyFont="1" applyAlignment="1" applyProtection="1">
      <alignment horizontal="center"/>
      <protection locked="0"/>
    </xf>
    <xf numFmtId="0" fontId="9" fillId="0" borderId="0" xfId="0" applyFont="1" applyAlignment="1">
      <alignment vertical="top" wrapText="1"/>
    </xf>
    <xf numFmtId="0" fontId="1" fillId="0" borderId="47" xfId="0" applyFont="1" applyBorder="1" applyAlignment="1">
      <alignment vertical="top" wrapText="1"/>
    </xf>
    <xf numFmtId="0" fontId="7" fillId="0" borderId="47" xfId="0" applyFont="1" applyBorder="1"/>
    <xf numFmtId="166" fontId="9" fillId="0" borderId="0" xfId="0" applyNumberFormat="1" applyFont="1" applyAlignment="1">
      <alignment horizontal="center"/>
    </xf>
    <xf numFmtId="166" fontId="9" fillId="0" borderId="0" xfId="0" applyNumberFormat="1" applyFont="1"/>
    <xf numFmtId="0" fontId="24" fillId="0" borderId="0" xfId="0" applyFont="1" applyAlignment="1">
      <alignment wrapText="1"/>
    </xf>
    <xf numFmtId="0" fontId="1" fillId="9" borderId="0" xfId="0" applyFont="1" applyFill="1"/>
    <xf numFmtId="0" fontId="1" fillId="14" borderId="0" xfId="0" applyFont="1" applyFill="1" applyAlignment="1">
      <alignment wrapText="1"/>
    </xf>
    <xf numFmtId="0" fontId="16" fillId="14" borderId="0" xfId="0" applyFont="1" applyFill="1" applyAlignment="1">
      <alignment horizontal="center" wrapText="1"/>
    </xf>
    <xf numFmtId="0" fontId="1" fillId="14" borderId="0" xfId="0" applyFont="1" applyFill="1" applyAlignment="1">
      <alignment vertical="top" wrapText="1"/>
    </xf>
    <xf numFmtId="0" fontId="13" fillId="14" borderId="0" xfId="0" applyFont="1" applyFill="1" applyAlignment="1">
      <alignment wrapText="1"/>
    </xf>
    <xf numFmtId="0" fontId="14" fillId="14" borderId="0" xfId="0" applyFont="1" applyFill="1" applyAlignment="1">
      <alignment wrapText="1"/>
    </xf>
    <xf numFmtId="0" fontId="1" fillId="5" borderId="0" xfId="0" applyFont="1" applyFill="1" applyAlignment="1">
      <alignment wrapText="1"/>
    </xf>
    <xf numFmtId="166" fontId="25" fillId="0" borderId="0" xfId="0" applyNumberFormat="1" applyFont="1" applyAlignment="1">
      <alignment horizontal="left"/>
    </xf>
    <xf numFmtId="166" fontId="5" fillId="0" borderId="0" xfId="0" applyNumberFormat="1" applyFont="1"/>
    <xf numFmtId="166" fontId="1" fillId="0" borderId="0" xfId="0" applyNumberFormat="1" applyFont="1" applyAlignment="1">
      <alignment horizontal="left"/>
    </xf>
    <xf numFmtId="0" fontId="9" fillId="4" borderId="3" xfId="0" applyFont="1" applyFill="1" applyBorder="1"/>
    <xf numFmtId="166" fontId="9" fillId="6" borderId="3" xfId="0" applyNumberFormat="1" applyFont="1" applyFill="1" applyBorder="1" applyAlignment="1">
      <alignment horizontal="left"/>
    </xf>
    <xf numFmtId="166" fontId="9" fillId="0" borderId="0" xfId="0" applyNumberFormat="1" applyFont="1" applyAlignment="1">
      <alignment horizontal="left"/>
    </xf>
    <xf numFmtId="166" fontId="16" fillId="0" borderId="0" xfId="0" applyNumberFormat="1" applyFont="1" applyAlignment="1">
      <alignment horizontal="left"/>
    </xf>
    <xf numFmtId="0" fontId="9" fillId="0" borderId="0" xfId="0" applyFont="1" applyAlignment="1">
      <alignment wrapText="1"/>
    </xf>
    <xf numFmtId="166" fontId="9" fillId="0" borderId="3" xfId="0" applyNumberFormat="1" applyFont="1" applyBorder="1" applyAlignment="1">
      <alignment horizontal="left"/>
    </xf>
    <xf numFmtId="166" fontId="9" fillId="0" borderId="0" xfId="0" applyNumberFormat="1" applyFont="1" applyAlignment="1">
      <alignment wrapText="1"/>
    </xf>
    <xf numFmtId="166" fontId="9" fillId="0" borderId="3" xfId="0" applyNumberFormat="1" applyFont="1" applyBorder="1"/>
    <xf numFmtId="166" fontId="9" fillId="0" borderId="3" xfId="0" applyNumberFormat="1" applyFont="1" applyBorder="1" applyAlignment="1">
      <alignment horizontal="left" vertical="center"/>
    </xf>
    <xf numFmtId="166" fontId="9" fillId="0" borderId="0" xfId="0" applyNumberFormat="1" applyFont="1" applyAlignment="1">
      <alignment horizontal="left" vertical="center"/>
    </xf>
    <xf numFmtId="0" fontId="9" fillId="0" borderId="3" xfId="0" applyFont="1" applyBorder="1" applyAlignment="1">
      <alignment horizontal="left" vertical="top"/>
    </xf>
    <xf numFmtId="0" fontId="14" fillId="0" borderId="0" xfId="0" applyFont="1"/>
    <xf numFmtId="166" fontId="14" fillId="0" borderId="0" xfId="0" applyNumberFormat="1" applyFont="1"/>
    <xf numFmtId="164" fontId="1" fillId="0" borderId="0" xfId="0" applyNumberFormat="1" applyFont="1"/>
    <xf numFmtId="164" fontId="9" fillId="4" borderId="3" xfId="0" applyNumberFormat="1" applyFont="1" applyFill="1" applyBorder="1" applyAlignment="1">
      <alignment horizontal="right"/>
    </xf>
    <xf numFmtId="164" fontId="9" fillId="0" borderId="0" xfId="0" applyNumberFormat="1" applyFont="1"/>
    <xf numFmtId="166" fontId="25" fillId="0" borderId="0" xfId="0" applyNumberFormat="1" applyFont="1"/>
    <xf numFmtId="0" fontId="26" fillId="0" borderId="0" xfId="0" applyFont="1"/>
    <xf numFmtId="0" fontId="3" fillId="0" borderId="46" xfId="0" applyFont="1" applyBorder="1"/>
    <xf numFmtId="0" fontId="25" fillId="0" borderId="0" xfId="0" applyFont="1" applyAlignment="1">
      <alignment horizontal="left"/>
    </xf>
    <xf numFmtId="0" fontId="1" fillId="0" borderId="46" xfId="0" applyFont="1" applyBorder="1" applyAlignment="1" applyProtection="1">
      <alignment horizontal="left" vertical="top" wrapText="1"/>
      <protection locked="0"/>
    </xf>
    <xf numFmtId="0" fontId="1" fillId="0" borderId="46" xfId="0" applyFont="1" applyBorder="1" applyAlignment="1">
      <alignment vertical="top"/>
    </xf>
    <xf numFmtId="0" fontId="1" fillId="0" borderId="46" xfId="0" applyFont="1" applyBorder="1"/>
    <xf numFmtId="0" fontId="3" fillId="0" borderId="46" xfId="0" applyFont="1" applyBorder="1" applyAlignment="1">
      <alignment horizontal="left"/>
    </xf>
    <xf numFmtId="0" fontId="9" fillId="3" borderId="19" xfId="0" applyFont="1" applyFill="1" applyBorder="1" applyAlignment="1">
      <alignment horizontal="left"/>
    </xf>
    <xf numFmtId="0" fontId="1" fillId="3" borderId="19" xfId="0" applyFont="1" applyFill="1" applyBorder="1" applyAlignment="1">
      <alignment horizontal="left"/>
    </xf>
    <xf numFmtId="1" fontId="1" fillId="0" borderId="0" xfId="0" applyNumberFormat="1" applyFont="1" applyAlignment="1">
      <alignment horizontal="center"/>
    </xf>
    <xf numFmtId="0" fontId="9" fillId="4" borderId="19" xfId="0" applyFont="1" applyFill="1" applyBorder="1"/>
    <xf numFmtId="0" fontId="1" fillId="4" borderId="19" xfId="0" applyFont="1" applyFill="1" applyBorder="1" applyAlignment="1">
      <alignment horizontal="left"/>
    </xf>
    <xf numFmtId="2" fontId="1" fillId="4" borderId="14" xfId="0" applyNumberFormat="1" applyFont="1" applyFill="1" applyBorder="1"/>
    <xf numFmtId="0" fontId="9" fillId="0" borderId="0" xfId="0" applyFont="1" applyAlignment="1">
      <alignment horizontal="left"/>
    </xf>
    <xf numFmtId="0" fontId="12" fillId="0" borderId="0" xfId="0" applyFont="1" applyAlignment="1">
      <alignment horizontal="left"/>
    </xf>
    <xf numFmtId="0" fontId="1" fillId="0" borderId="46" xfId="0" applyFont="1" applyBorder="1" applyAlignment="1">
      <alignment horizontal="center"/>
    </xf>
    <xf numFmtId="165" fontId="9" fillId="0" borderId="0" xfId="0" applyNumberFormat="1" applyFont="1" applyAlignment="1">
      <alignment horizontal="center"/>
    </xf>
    <xf numFmtId="0" fontId="9" fillId="21" borderId="49" xfId="0" applyFont="1" applyFill="1" applyBorder="1" applyAlignment="1">
      <alignment horizontal="center"/>
    </xf>
    <xf numFmtId="0" fontId="1" fillId="0" borderId="50"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0" xfId="0" applyFont="1" applyAlignment="1">
      <alignment horizontal="center" vertical="center" wrapText="1"/>
    </xf>
    <xf numFmtId="0" fontId="16" fillId="0" borderId="0" xfId="0" applyFont="1" applyAlignment="1">
      <alignment horizontal="left"/>
    </xf>
    <xf numFmtId="0" fontId="9" fillId="0" borderId="46" xfId="0" applyFont="1" applyBorder="1" applyAlignment="1">
      <alignment horizontal="center"/>
    </xf>
    <xf numFmtId="166" fontId="9" fillId="0" borderId="46" xfId="0" applyNumberFormat="1" applyFont="1" applyBorder="1" applyAlignment="1">
      <alignment horizontal="center" vertical="center"/>
    </xf>
    <xf numFmtId="0" fontId="1" fillId="0" borderId="46" xfId="0" applyFont="1" applyBorder="1" applyAlignment="1">
      <alignment horizontal="left"/>
    </xf>
    <xf numFmtId="166" fontId="9" fillId="0" borderId="0" xfId="0" applyNumberFormat="1" applyFont="1" applyAlignment="1">
      <alignment horizontal="center" vertical="center"/>
    </xf>
    <xf numFmtId="0" fontId="9" fillId="21" borderId="3" xfId="0" applyFont="1" applyFill="1" applyBorder="1" applyAlignment="1" applyProtection="1">
      <alignment horizontal="center" vertical="center" wrapText="1"/>
      <protection locked="0"/>
    </xf>
    <xf numFmtId="0" fontId="9" fillId="0" borderId="46" xfId="0" applyFont="1" applyBorder="1"/>
    <xf numFmtId="0" fontId="1" fillId="0" borderId="0" xfId="0" applyFont="1" applyAlignment="1" applyProtection="1">
      <alignment horizontal="center" vertical="top" wrapText="1"/>
      <protection locked="0"/>
    </xf>
    <xf numFmtId="0" fontId="9" fillId="0" borderId="49" xfId="0" applyFont="1" applyBorder="1" applyAlignment="1">
      <alignment horizontal="center" vertical="center" wrapText="1"/>
    </xf>
    <xf numFmtId="0" fontId="1" fillId="0" borderId="50" xfId="0" applyFont="1" applyBorder="1" applyAlignment="1">
      <alignment horizontal="center" vertical="top" wrapText="1"/>
    </xf>
    <xf numFmtId="0" fontId="1" fillId="0" borderId="51" xfId="0" applyFont="1" applyBorder="1" applyAlignment="1">
      <alignment horizontal="center" vertical="top" wrapText="1"/>
    </xf>
    <xf numFmtId="0" fontId="1" fillId="0" borderId="52" xfId="0" applyFont="1" applyBorder="1" applyAlignment="1">
      <alignment horizontal="center" vertical="top" wrapText="1"/>
    </xf>
    <xf numFmtId="0" fontId="1" fillId="0" borderId="0" xfId="0" applyFont="1" applyAlignment="1">
      <alignment horizontal="center" vertical="top" wrapText="1"/>
    </xf>
    <xf numFmtId="0" fontId="28" fillId="0" borderId="0" xfId="0" applyFont="1" applyAlignment="1">
      <alignment horizontal="center"/>
    </xf>
    <xf numFmtId="0" fontId="1" fillId="0" borderId="0" xfId="0" applyFont="1" applyAlignment="1">
      <alignment vertical="top"/>
    </xf>
    <xf numFmtId="2" fontId="1" fillId="0" borderId="46" xfId="0" applyNumberFormat="1" applyFont="1" applyBorder="1"/>
    <xf numFmtId="166" fontId="1" fillId="0" borderId="46" xfId="0" applyNumberFormat="1" applyFont="1" applyBorder="1" applyAlignment="1">
      <alignment horizontal="center"/>
    </xf>
    <xf numFmtId="166" fontId="1" fillId="0" borderId="0" xfId="0" applyNumberFormat="1" applyFont="1" applyAlignment="1">
      <alignment horizontal="center"/>
    </xf>
    <xf numFmtId="0" fontId="1" fillId="0" borderId="0" xfId="0" applyFont="1" applyAlignment="1">
      <alignment horizontal="center" wrapText="1"/>
    </xf>
    <xf numFmtId="0" fontId="9" fillId="0" borderId="3" xfId="0" applyFont="1" applyBorder="1" applyAlignment="1">
      <alignment horizontal="center"/>
    </xf>
    <xf numFmtId="2" fontId="1" fillId="2" borderId="3" xfId="0" applyNumberFormat="1" applyFont="1" applyFill="1" applyBorder="1" applyAlignment="1" applyProtection="1">
      <alignment horizontal="center"/>
      <protection locked="0"/>
    </xf>
    <xf numFmtId="2" fontId="1" fillId="21" borderId="3" xfId="0" applyNumberFormat="1" applyFont="1" applyFill="1" applyBorder="1" applyAlignment="1" applyProtection="1">
      <alignment horizontal="center"/>
      <protection locked="0"/>
    </xf>
    <xf numFmtId="166" fontId="9" fillId="0" borderId="0" xfId="0" applyNumberFormat="1" applyFont="1" applyAlignment="1">
      <alignment horizontal="center" vertical="top" wrapText="1"/>
    </xf>
    <xf numFmtId="0" fontId="1" fillId="0" borderId="35" xfId="0" applyFont="1" applyBorder="1" applyAlignment="1">
      <alignment vertical="top" wrapText="1"/>
    </xf>
    <xf numFmtId="0" fontId="1" fillId="0" borderId="18" xfId="0" applyFont="1" applyBorder="1" applyAlignment="1">
      <alignment vertical="top" wrapText="1"/>
    </xf>
    <xf numFmtId="0" fontId="1" fillId="0" borderId="36" xfId="0" applyFont="1" applyBorder="1" applyAlignment="1">
      <alignment vertical="top" wrapText="1"/>
    </xf>
    <xf numFmtId="0" fontId="1" fillId="0" borderId="25" xfId="0" applyFont="1" applyBorder="1" applyAlignment="1">
      <alignment vertical="top" wrapText="1"/>
    </xf>
    <xf numFmtId="0" fontId="1" fillId="0" borderId="37" xfId="0" applyFont="1" applyBorder="1" applyAlignment="1">
      <alignment vertical="top" wrapText="1"/>
    </xf>
    <xf numFmtId="166" fontId="1" fillId="0" borderId="0" xfId="0" applyNumberFormat="1" applyFont="1" applyAlignment="1">
      <alignment wrapText="1"/>
    </xf>
    <xf numFmtId="166" fontId="9" fillId="0" borderId="0" xfId="0" applyNumberFormat="1" applyFont="1" applyAlignment="1">
      <alignment horizontal="center" wrapText="1"/>
    </xf>
    <xf numFmtId="0" fontId="9" fillId="0" borderId="0" xfId="0" applyFont="1" applyAlignment="1">
      <alignment horizontal="center" wrapText="1"/>
    </xf>
    <xf numFmtId="0" fontId="1" fillId="11" borderId="3" xfId="0" applyFont="1" applyFill="1" applyBorder="1" applyAlignment="1">
      <alignment horizontal="center"/>
    </xf>
    <xf numFmtId="166" fontId="1" fillId="4" borderId="3" xfId="0" applyNumberFormat="1" applyFont="1" applyFill="1" applyBorder="1" applyAlignment="1">
      <alignment horizontal="center"/>
    </xf>
    <xf numFmtId="1" fontId="9" fillId="0" borderId="0" xfId="0" applyNumberFormat="1" applyFont="1"/>
    <xf numFmtId="2" fontId="9" fillId="0" borderId="0" xfId="0" applyNumberFormat="1" applyFont="1"/>
    <xf numFmtId="1" fontId="1" fillId="0" borderId="0" xfId="0" applyNumberFormat="1" applyFont="1"/>
    <xf numFmtId="166" fontId="14" fillId="0" borderId="0" xfId="0" applyNumberFormat="1" applyFont="1" applyAlignment="1">
      <alignment wrapText="1"/>
    </xf>
    <xf numFmtId="0" fontId="1" fillId="9" borderId="0" xfId="0" applyFont="1" applyFill="1" applyAlignment="1">
      <alignment horizontal="center"/>
    </xf>
    <xf numFmtId="166" fontId="1" fillId="4" borderId="8" xfId="0" applyNumberFormat="1" applyFont="1" applyFill="1" applyBorder="1"/>
    <xf numFmtId="166" fontId="1" fillId="4" borderId="3" xfId="0" applyNumberFormat="1" applyFont="1" applyFill="1" applyBorder="1"/>
    <xf numFmtId="166" fontId="1" fillId="4" borderId="6" xfId="0" applyNumberFormat="1" applyFont="1" applyFill="1" applyBorder="1"/>
    <xf numFmtId="166" fontId="9" fillId="4" borderId="7" xfId="0" applyNumberFormat="1" applyFont="1" applyFill="1" applyBorder="1"/>
    <xf numFmtId="166" fontId="9" fillId="4" borderId="26" xfId="0" applyNumberFormat="1" applyFont="1" applyFill="1" applyBorder="1"/>
    <xf numFmtId="0" fontId="9" fillId="9" borderId="0" xfId="0" applyFont="1" applyFill="1"/>
    <xf numFmtId="166" fontId="12" fillId="0" borderId="0" xfId="0" applyNumberFormat="1" applyFont="1" applyAlignment="1">
      <alignment horizontal="center"/>
    </xf>
    <xf numFmtId="166" fontId="9" fillId="4" borderId="17" xfId="0" applyNumberFormat="1" applyFont="1" applyFill="1" applyBorder="1"/>
    <xf numFmtId="0" fontId="9" fillId="0" borderId="22" xfId="0" applyFont="1" applyBorder="1" applyAlignment="1">
      <alignment horizontal="center"/>
    </xf>
    <xf numFmtId="166" fontId="9" fillId="0" borderId="32" xfId="0" applyNumberFormat="1" applyFont="1" applyBorder="1" applyAlignment="1">
      <alignment horizontal="center"/>
    </xf>
    <xf numFmtId="166" fontId="1" fillId="4" borderId="27" xfId="0" applyNumberFormat="1" applyFont="1" applyFill="1" applyBorder="1"/>
    <xf numFmtId="166" fontId="1" fillId="4" borderId="5" xfId="0" applyNumberFormat="1" applyFont="1" applyFill="1" applyBorder="1"/>
    <xf numFmtId="166" fontId="1" fillId="4" borderId="9" xfId="0" applyNumberFormat="1" applyFont="1" applyFill="1" applyBorder="1"/>
    <xf numFmtId="166" fontId="1" fillId="4" borderId="16" xfId="0" applyNumberFormat="1" applyFont="1" applyFill="1" applyBorder="1"/>
    <xf numFmtId="166" fontId="1" fillId="4" borderId="7" xfId="0" applyNumberFormat="1" applyFont="1" applyFill="1" applyBorder="1"/>
    <xf numFmtId="0" fontId="9" fillId="0" borderId="32" xfId="0" applyFont="1" applyBorder="1" applyAlignment="1">
      <alignment horizontal="center"/>
    </xf>
    <xf numFmtId="166" fontId="9" fillId="0" borderId="29" xfId="0" applyNumberFormat="1" applyFont="1" applyBorder="1" applyAlignment="1">
      <alignment horizontal="center"/>
    </xf>
    <xf numFmtId="0" fontId="25" fillId="0" borderId="0" xfId="0" applyFont="1" applyAlignment="1">
      <alignment horizontal="left" vertical="top"/>
    </xf>
    <xf numFmtId="0" fontId="9" fillId="4" borderId="19" xfId="0" applyFont="1" applyFill="1" applyBorder="1" applyAlignment="1">
      <alignment horizontal="left"/>
    </xf>
    <xf numFmtId="2" fontId="1" fillId="4" borderId="21" xfId="0" applyNumberFormat="1" applyFont="1" applyFill="1" applyBorder="1"/>
    <xf numFmtId="0" fontId="9" fillId="4" borderId="14" xfId="0" applyFont="1" applyFill="1" applyBorder="1" applyAlignment="1">
      <alignment horizontal="center"/>
    </xf>
    <xf numFmtId="0" fontId="12" fillId="0" borderId="0" xfId="0" applyFont="1" applyAlignment="1">
      <alignment horizontal="center"/>
    </xf>
    <xf numFmtId="0" fontId="6" fillId="0" borderId="0" xfId="0" applyFont="1" applyAlignment="1">
      <alignment horizontal="left" wrapText="1"/>
    </xf>
    <xf numFmtId="0" fontId="1" fillId="0" borderId="0" xfId="0" applyFont="1" applyAlignment="1">
      <alignment horizontal="left" wrapText="1"/>
    </xf>
    <xf numFmtId="166" fontId="1" fillId="0" borderId="0" xfId="0" applyNumberFormat="1" applyFont="1" applyAlignment="1">
      <alignment horizontal="left" wrapText="1"/>
    </xf>
    <xf numFmtId="0" fontId="9" fillId="3" borderId="15" xfId="0" applyFont="1" applyFill="1" applyBorder="1" applyAlignment="1">
      <alignment horizontal="center"/>
    </xf>
    <xf numFmtId="0" fontId="9" fillId="3" borderId="11" xfId="0" applyFont="1" applyFill="1" applyBorder="1" applyAlignment="1">
      <alignment horizontal="center"/>
    </xf>
    <xf numFmtId="0" fontId="1" fillId="3" borderId="8" xfId="0" applyFont="1" applyFill="1" applyBorder="1"/>
    <xf numFmtId="0" fontId="1" fillId="3" borderId="3" xfId="0" applyFont="1" applyFill="1" applyBorder="1"/>
    <xf numFmtId="0" fontId="1" fillId="4" borderId="3" xfId="0" applyFont="1" applyFill="1" applyBorder="1"/>
    <xf numFmtId="0" fontId="1" fillId="3" borderId="8" xfId="0" applyFont="1" applyFill="1" applyBorder="1" applyAlignment="1">
      <alignment horizontal="right"/>
    </xf>
    <xf numFmtId="0" fontId="9" fillId="3" borderId="1" xfId="0" applyFont="1" applyFill="1" applyBorder="1" applyAlignment="1">
      <alignment horizontal="center"/>
    </xf>
    <xf numFmtId="0" fontId="1" fillId="3" borderId="14" xfId="0" applyFont="1" applyFill="1" applyBorder="1"/>
    <xf numFmtId="166" fontId="9" fillId="4" borderId="5" xfId="0" applyNumberFormat="1" applyFont="1" applyFill="1" applyBorder="1"/>
    <xf numFmtId="0" fontId="5" fillId="0" borderId="0" xfId="0" applyFont="1" applyAlignment="1">
      <alignment horizontal="left"/>
    </xf>
    <xf numFmtId="0" fontId="9" fillId="0" borderId="24" xfId="0" applyFont="1" applyBorder="1" applyAlignment="1">
      <alignment horizontal="center"/>
    </xf>
    <xf numFmtId="0" fontId="1" fillId="0" borderId="25" xfId="0" applyFont="1" applyBorder="1"/>
    <xf numFmtId="0" fontId="1" fillId="0" borderId="37" xfId="0" applyFont="1" applyBorder="1"/>
    <xf numFmtId="0" fontId="9" fillId="3" borderId="4" xfId="0" applyFont="1" applyFill="1" applyBorder="1" applyAlignment="1">
      <alignment horizontal="center"/>
    </xf>
    <xf numFmtId="0" fontId="1" fillId="3" borderId="27" xfId="0" applyFont="1" applyFill="1" applyBorder="1"/>
    <xf numFmtId="0" fontId="1" fillId="4" borderId="27" xfId="0" applyFont="1" applyFill="1" applyBorder="1"/>
    <xf numFmtId="0" fontId="9" fillId="3" borderId="26" xfId="0" applyFont="1" applyFill="1" applyBorder="1" applyAlignment="1">
      <alignment horizontal="center"/>
    </xf>
    <xf numFmtId="0" fontId="1" fillId="3" borderId="9" xfId="0" applyFont="1" applyFill="1" applyBorder="1"/>
    <xf numFmtId="0" fontId="1" fillId="4" borderId="9" xfId="0" applyFont="1" applyFill="1" applyBorder="1"/>
    <xf numFmtId="0" fontId="1" fillId="3" borderId="16" xfId="0" applyFont="1" applyFill="1" applyBorder="1"/>
    <xf numFmtId="0" fontId="1" fillId="3" borderId="33" xfId="0" applyFont="1" applyFill="1" applyBorder="1"/>
    <xf numFmtId="0" fontId="9" fillId="3" borderId="2" xfId="0" applyFont="1" applyFill="1" applyBorder="1" applyAlignment="1">
      <alignment horizontal="center"/>
    </xf>
    <xf numFmtId="0" fontId="1" fillId="3" borderId="10" xfId="0" applyFont="1" applyFill="1" applyBorder="1"/>
    <xf numFmtId="0" fontId="1" fillId="0" borderId="55" xfId="0" applyFont="1" applyBorder="1"/>
    <xf numFmtId="166" fontId="9" fillId="4" borderId="55" xfId="0" applyNumberFormat="1" applyFont="1" applyFill="1" applyBorder="1"/>
    <xf numFmtId="0" fontId="9" fillId="10" borderId="24" xfId="0" applyFont="1" applyFill="1" applyBorder="1" applyAlignment="1">
      <alignment horizontal="center"/>
    </xf>
    <xf numFmtId="0" fontId="1" fillId="10" borderId="25" xfId="0" applyFont="1" applyFill="1" applyBorder="1"/>
    <xf numFmtId="0" fontId="1" fillId="10" borderId="55" xfId="0" applyFont="1" applyFill="1" applyBorder="1"/>
    <xf numFmtId="166" fontId="9" fillId="0" borderId="4" xfId="0" applyNumberFormat="1" applyFont="1" applyBorder="1" applyAlignment="1">
      <alignment horizontal="left"/>
    </xf>
    <xf numFmtId="166" fontId="9" fillId="0" borderId="2" xfId="0" applyNumberFormat="1" applyFont="1" applyBorder="1" applyAlignment="1">
      <alignment horizontal="left"/>
    </xf>
    <xf numFmtId="0" fontId="3" fillId="0" borderId="0" xfId="0" applyFont="1"/>
    <xf numFmtId="166" fontId="1" fillId="3" borderId="19" xfId="0" applyNumberFormat="1" applyFont="1" applyFill="1" applyBorder="1" applyAlignment="1">
      <alignment horizontal="left"/>
    </xf>
    <xf numFmtId="166" fontId="1" fillId="3" borderId="14" xfId="0" applyNumberFormat="1" applyFont="1" applyFill="1" applyBorder="1"/>
    <xf numFmtId="166" fontId="1" fillId="4" borderId="19" xfId="0" applyNumberFormat="1" applyFont="1" applyFill="1" applyBorder="1" applyAlignment="1">
      <alignment horizontal="left"/>
    </xf>
    <xf numFmtId="166" fontId="1" fillId="4" borderId="14" xfId="0" applyNumberFormat="1" applyFont="1" applyFill="1" applyBorder="1"/>
    <xf numFmtId="0" fontId="6" fillId="0" borderId="0" xfId="0" applyFont="1" applyAlignment="1">
      <alignment wrapText="1"/>
    </xf>
    <xf numFmtId="166" fontId="1" fillId="3" borderId="3" xfId="0" applyNumberFormat="1" applyFont="1" applyFill="1" applyBorder="1"/>
    <xf numFmtId="0" fontId="25" fillId="0" borderId="0" xfId="0" applyFont="1"/>
    <xf numFmtId="0" fontId="17" fillId="0" borderId="0" xfId="0" applyFont="1"/>
    <xf numFmtId="0" fontId="9" fillId="3" borderId="3" xfId="0" applyFont="1" applyFill="1" applyBorder="1" applyAlignment="1">
      <alignment horizontal="left"/>
    </xf>
    <xf numFmtId="0" fontId="1" fillId="0" borderId="40" xfId="0" applyFont="1" applyBorder="1"/>
    <xf numFmtId="0" fontId="9" fillId="4" borderId="3" xfId="0" applyFont="1" applyFill="1" applyBorder="1" applyAlignment="1">
      <alignment horizontal="left"/>
    </xf>
    <xf numFmtId="0" fontId="9" fillId="11" borderId="3" xfId="0" applyFont="1" applyFill="1" applyBorder="1" applyAlignment="1">
      <alignment horizontal="left"/>
    </xf>
    <xf numFmtId="0" fontId="1" fillId="3" borderId="3" xfId="0" applyFont="1" applyFill="1" applyBorder="1" applyAlignment="1">
      <alignment horizontal="center"/>
    </xf>
    <xf numFmtId="0" fontId="1" fillId="4" borderId="3" xfId="0" applyFont="1" applyFill="1" applyBorder="1" applyAlignment="1">
      <alignment horizontal="center"/>
    </xf>
    <xf numFmtId="0" fontId="1" fillId="3" borderId="21" xfId="0" applyFont="1" applyFill="1" applyBorder="1"/>
    <xf numFmtId="0" fontId="1" fillId="4" borderId="21" xfId="0" applyFont="1" applyFill="1" applyBorder="1"/>
    <xf numFmtId="0" fontId="1" fillId="4" borderId="14" xfId="0" applyFont="1" applyFill="1" applyBorder="1"/>
    <xf numFmtId="0" fontId="32" fillId="0" borderId="0" xfId="0" applyFont="1" applyAlignment="1">
      <alignment horizontal="left" vertical="center"/>
    </xf>
    <xf numFmtId="0" fontId="9" fillId="0" borderId="0" xfId="0" applyFont="1" applyAlignment="1">
      <alignment horizontal="right"/>
    </xf>
    <xf numFmtId="2" fontId="1" fillId="3" borderId="14" xfId="0" applyNumberFormat="1" applyFont="1" applyFill="1" applyBorder="1"/>
    <xf numFmtId="0" fontId="1" fillId="11" borderId="0" xfId="0" applyFont="1" applyFill="1"/>
    <xf numFmtId="0" fontId="7" fillId="0" borderId="0" xfId="0" applyFont="1" applyAlignment="1">
      <alignment wrapText="1"/>
    </xf>
    <xf numFmtId="166" fontId="16" fillId="0" borderId="0" xfId="0" applyNumberFormat="1" applyFont="1" applyAlignment="1">
      <alignment wrapText="1"/>
    </xf>
    <xf numFmtId="166" fontId="7" fillId="0" borderId="0" xfId="0" applyNumberFormat="1" applyFont="1" applyAlignment="1">
      <alignment wrapText="1"/>
    </xf>
    <xf numFmtId="0" fontId="7" fillId="0" borderId="0" xfId="0" applyFont="1" applyAlignment="1">
      <alignment horizontal="left"/>
    </xf>
    <xf numFmtId="166" fontId="7" fillId="0" borderId="0" xfId="0" applyNumberFormat="1" applyFont="1" applyAlignment="1">
      <alignment horizontal="left"/>
    </xf>
    <xf numFmtId="0" fontId="7" fillId="0" borderId="0" xfId="0" applyFont="1" applyAlignment="1">
      <alignment horizontal="left" wrapText="1"/>
    </xf>
    <xf numFmtId="166" fontId="1" fillId="0" borderId="0" xfId="0" applyNumberFormat="1" applyFont="1" applyAlignment="1">
      <alignment vertical="center"/>
    </xf>
    <xf numFmtId="166" fontId="1" fillId="0" borderId="0" xfId="0" applyNumberFormat="1" applyFont="1" applyAlignment="1">
      <alignment horizontal="center" vertical="center"/>
    </xf>
    <xf numFmtId="166" fontId="9" fillId="0" borderId="0" xfId="0" applyNumberFormat="1" applyFont="1" applyAlignment="1">
      <alignment horizontal="center" vertical="center" wrapText="1"/>
    </xf>
    <xf numFmtId="166" fontId="1" fillId="0" borderId="0" xfId="0" applyNumberFormat="1" applyFont="1" applyAlignment="1">
      <alignment vertical="center" wrapText="1"/>
    </xf>
    <xf numFmtId="166" fontId="7" fillId="0" borderId="0" xfId="0" applyNumberFormat="1" applyFont="1" applyAlignment="1">
      <alignment vertical="center" wrapText="1"/>
    </xf>
    <xf numFmtId="166" fontId="9" fillId="0" borderId="0" xfId="0" applyNumberFormat="1" applyFont="1" applyAlignment="1">
      <alignment vertical="center"/>
    </xf>
    <xf numFmtId="166" fontId="16" fillId="0" borderId="0" xfId="0" applyNumberFormat="1" applyFont="1" applyAlignment="1">
      <alignment horizontal="left" vertical="center"/>
    </xf>
    <xf numFmtId="166" fontId="16" fillId="0" borderId="0" xfId="0" applyNumberFormat="1" applyFont="1" applyAlignment="1">
      <alignment vertical="center" wrapText="1"/>
    </xf>
    <xf numFmtId="166" fontId="7" fillId="0" borderId="0" xfId="0" applyNumberFormat="1" applyFont="1" applyAlignment="1">
      <alignment horizontal="left" vertical="center"/>
    </xf>
    <xf numFmtId="166" fontId="9" fillId="4" borderId="3" xfId="0" applyNumberFormat="1" applyFont="1" applyFill="1" applyBorder="1" applyAlignment="1">
      <alignment vertical="center"/>
    </xf>
    <xf numFmtId="0" fontId="25" fillId="0" borderId="0" xfId="0" applyFont="1" applyAlignment="1">
      <alignment horizontal="left" vertical="center"/>
    </xf>
    <xf numFmtId="0" fontId="9" fillId="0" borderId="41" xfId="0" applyFont="1" applyBorder="1" applyAlignment="1">
      <alignment horizontal="center" vertical="center"/>
    </xf>
    <xf numFmtId="166" fontId="9" fillId="3" borderId="3" xfId="0" applyNumberFormat="1" applyFont="1" applyFill="1" applyBorder="1" applyAlignment="1">
      <alignment horizontal="center"/>
    </xf>
    <xf numFmtId="0" fontId="9" fillId="0" borderId="3" xfId="0" applyFont="1" applyBorder="1" applyAlignment="1">
      <alignment horizontal="left"/>
    </xf>
    <xf numFmtId="0" fontId="1" fillId="0" borderId="42" xfId="0" applyFont="1" applyBorder="1" applyAlignment="1">
      <alignment horizontal="left"/>
    </xf>
    <xf numFmtId="2" fontId="1" fillId="0" borderId="42" xfId="0" applyNumberFormat="1" applyFont="1" applyBorder="1"/>
    <xf numFmtId="0" fontId="1" fillId="0" borderId="0" xfId="0" applyFont="1" applyAlignment="1">
      <alignment horizontal="left" vertical="center"/>
    </xf>
    <xf numFmtId="0" fontId="9" fillId="22" borderId="3" xfId="0" applyFont="1" applyFill="1" applyBorder="1"/>
    <xf numFmtId="0" fontId="1" fillId="22" borderId="19" xfId="0" applyFont="1" applyFill="1" applyBorder="1" applyAlignment="1">
      <alignment horizontal="left"/>
    </xf>
    <xf numFmtId="2" fontId="1" fillId="22" borderId="14" xfId="0" applyNumberFormat="1" applyFont="1" applyFill="1" applyBorder="1"/>
    <xf numFmtId="0" fontId="9" fillId="0" borderId="0" xfId="0" applyFont="1" applyAlignment="1">
      <alignment horizontal="left" vertical="center"/>
    </xf>
    <xf numFmtId="0" fontId="9" fillId="22" borderId="3" xfId="0" applyFont="1" applyFill="1" applyBorder="1" applyAlignment="1">
      <alignment horizontal="left"/>
    </xf>
    <xf numFmtId="2" fontId="1" fillId="22" borderId="21" xfId="0" applyNumberFormat="1" applyFont="1" applyFill="1" applyBorder="1"/>
    <xf numFmtId="0" fontId="9" fillId="22" borderId="14" xfId="0" applyFont="1" applyFill="1" applyBorder="1" applyAlignment="1">
      <alignment horizontal="center"/>
    </xf>
    <xf numFmtId="166" fontId="1" fillId="22" borderId="19" xfId="0" applyNumberFormat="1" applyFont="1" applyFill="1" applyBorder="1" applyAlignment="1">
      <alignment horizontal="left"/>
    </xf>
    <xf numFmtId="166" fontId="1" fillId="22" borderId="14" xfId="0" applyNumberFormat="1" applyFont="1" applyFill="1" applyBorder="1"/>
    <xf numFmtId="0" fontId="1" fillId="22" borderId="21" xfId="0" applyFont="1" applyFill="1" applyBorder="1"/>
    <xf numFmtId="0" fontId="1" fillId="22" borderId="14" xfId="0" applyFont="1" applyFill="1" applyBorder="1"/>
    <xf numFmtId="0" fontId="13" fillId="7" borderId="0" xfId="0" applyFont="1" applyFill="1"/>
    <xf numFmtId="0" fontId="7" fillId="0" borderId="0" xfId="0" applyFont="1"/>
    <xf numFmtId="0" fontId="9" fillId="0" borderId="0" xfId="0" applyFont="1" applyAlignment="1">
      <alignment horizontal="left" wrapText="1"/>
    </xf>
    <xf numFmtId="2" fontId="1" fillId="0" borderId="3" xfId="0" applyNumberFormat="1" applyFont="1" applyBorder="1" applyAlignment="1">
      <alignment horizontal="center" vertical="top" wrapText="1"/>
    </xf>
    <xf numFmtId="2" fontId="1" fillId="0" borderId="3" xfId="0" applyNumberFormat="1" applyFont="1" applyBorder="1" applyAlignment="1">
      <alignment horizontal="center" wrapText="1"/>
    </xf>
    <xf numFmtId="9" fontId="1" fillId="0" borderId="0" xfId="1" applyFont="1"/>
    <xf numFmtId="0" fontId="1" fillId="0" borderId="3" xfId="0" applyFont="1" applyBorder="1" applyAlignment="1">
      <alignment horizontal="center" wrapText="1"/>
    </xf>
    <xf numFmtId="0" fontId="9" fillId="0" borderId="38" xfId="0" applyFont="1" applyBorder="1"/>
    <xf numFmtId="0" fontId="1" fillId="0" borderId="36" xfId="0" applyFont="1" applyBorder="1" applyAlignment="1">
      <alignment vertical="top"/>
    </xf>
    <xf numFmtId="0" fontId="9" fillId="0" borderId="30" xfId="0" applyFont="1" applyBorder="1" applyAlignment="1">
      <alignment horizontal="center"/>
    </xf>
    <xf numFmtId="0" fontId="9" fillId="0" borderId="36" xfId="0" applyFont="1" applyBorder="1" applyAlignment="1">
      <alignment vertical="top"/>
    </xf>
    <xf numFmtId="164" fontId="1" fillId="0" borderId="3" xfId="1" applyNumberFormat="1" applyFont="1" applyBorder="1" applyAlignment="1">
      <alignment horizontal="center" vertical="center"/>
    </xf>
    <xf numFmtId="0" fontId="1" fillId="0" borderId="6" xfId="0" applyFont="1" applyBorder="1" applyAlignment="1">
      <alignment vertical="top" wrapText="1"/>
    </xf>
    <xf numFmtId="164" fontId="1" fillId="0" borderId="30" xfId="1" applyNumberFormat="1" applyFont="1" applyBorder="1" applyAlignment="1">
      <alignment horizontal="center" vertical="center"/>
    </xf>
    <xf numFmtId="164" fontId="1" fillId="0" borderId="9" xfId="1" applyNumberFormat="1" applyFont="1" applyBorder="1" applyAlignment="1">
      <alignment horizontal="center" vertical="center"/>
    </xf>
    <xf numFmtId="0" fontId="1" fillId="0" borderId="7" xfId="0" applyFont="1" applyBorder="1" applyAlignment="1">
      <alignment vertical="top" wrapText="1"/>
    </xf>
    <xf numFmtId="2" fontId="1" fillId="0" borderId="0" xfId="0" applyNumberFormat="1" applyFont="1" applyAlignment="1">
      <alignment vertical="top" wrapText="1"/>
    </xf>
    <xf numFmtId="0" fontId="1" fillId="0" borderId="0" xfId="0" applyFont="1" applyAlignment="1">
      <alignment horizontal="left" indent="4"/>
    </xf>
    <xf numFmtId="0" fontId="9" fillId="12" borderId="3" xfId="0" applyFont="1" applyFill="1" applyBorder="1"/>
    <xf numFmtId="0" fontId="9" fillId="12" borderId="3" xfId="0" applyFont="1" applyFill="1" applyBorder="1" applyAlignment="1">
      <alignment horizontal="center" wrapText="1"/>
    </xf>
    <xf numFmtId="0" fontId="1" fillId="13" borderId="3" xfId="0" applyFont="1" applyFill="1" applyBorder="1" applyAlignment="1">
      <alignment wrapText="1"/>
    </xf>
    <xf numFmtId="0" fontId="1" fillId="13" borderId="3" xfId="0" applyFont="1" applyFill="1" applyBorder="1" applyAlignment="1">
      <alignment horizontal="center"/>
    </xf>
    <xf numFmtId="0" fontId="1" fillId="13" borderId="3" xfId="0" applyFont="1" applyFill="1" applyBorder="1" applyAlignment="1">
      <alignment horizontal="center" wrapText="1"/>
    </xf>
    <xf numFmtId="4" fontId="1" fillId="13" borderId="3" xfId="0" applyNumberFormat="1" applyFont="1" applyFill="1" applyBorder="1" applyAlignment="1">
      <alignment horizontal="center" wrapText="1"/>
    </xf>
    <xf numFmtId="0" fontId="1" fillId="0" borderId="3" xfId="0" applyFont="1" applyBorder="1" applyAlignment="1">
      <alignment wrapText="1"/>
    </xf>
    <xf numFmtId="0" fontId="1" fillId="0" borderId="3" xfId="0" applyFont="1" applyBorder="1" applyAlignment="1">
      <alignment horizontal="center"/>
    </xf>
    <xf numFmtId="4" fontId="1" fillId="0" borderId="3" xfId="0" applyNumberFormat="1" applyFont="1" applyBorder="1" applyAlignment="1">
      <alignment horizontal="center" wrapText="1"/>
    </xf>
    <xf numFmtId="3" fontId="1" fillId="13" borderId="3" xfId="0" applyNumberFormat="1" applyFont="1" applyFill="1" applyBorder="1" applyAlignment="1">
      <alignment horizontal="center"/>
    </xf>
    <xf numFmtId="0" fontId="1" fillId="13" borderId="3" xfId="0" applyFont="1" applyFill="1" applyBorder="1"/>
    <xf numFmtId="0" fontId="1" fillId="0" borderId="3" xfId="0" applyFont="1" applyBorder="1"/>
    <xf numFmtId="10" fontId="1" fillId="0" borderId="0" xfId="0" applyNumberFormat="1" applyFont="1" applyAlignment="1">
      <alignment horizontal="center"/>
    </xf>
    <xf numFmtId="9" fontId="1" fillId="0" borderId="0" xfId="0" applyNumberFormat="1" applyFont="1" applyAlignment="1">
      <alignment horizontal="center"/>
    </xf>
    <xf numFmtId="9" fontId="1" fillId="0" borderId="0" xfId="0" applyNumberFormat="1" applyFont="1" applyAlignment="1">
      <alignment horizontal="center" wrapText="1"/>
    </xf>
    <xf numFmtId="0" fontId="3" fillId="0" borderId="0" xfId="0" applyFont="1" applyAlignment="1">
      <alignment horizontal="left" vertical="top"/>
    </xf>
    <xf numFmtId="0" fontId="1" fillId="0" borderId="3" xfId="0" applyFont="1" applyBorder="1" applyAlignment="1">
      <alignment vertical="center"/>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3" fillId="0" borderId="46" xfId="0" applyFont="1" applyBorder="1" applyAlignment="1">
      <alignment vertical="center"/>
    </xf>
    <xf numFmtId="167" fontId="1" fillId="2" borderId="3" xfId="2" applyNumberFormat="1" applyFont="1" applyFill="1" applyBorder="1" applyAlignment="1" applyProtection="1">
      <alignment horizontal="center" vertical="center" wrapText="1"/>
      <protection locked="0"/>
    </xf>
    <xf numFmtId="167" fontId="1" fillId="2" borderId="3" xfId="2" applyNumberFormat="1" applyFont="1" applyFill="1" applyBorder="1" applyProtection="1">
      <protection locked="0"/>
    </xf>
    <xf numFmtId="166" fontId="9" fillId="18" borderId="3" xfId="0" applyNumberFormat="1" applyFont="1" applyFill="1" applyBorder="1" applyAlignment="1">
      <alignment horizontal="left"/>
    </xf>
    <xf numFmtId="166" fontId="1" fillId="18" borderId="3" xfId="0" applyNumberFormat="1" applyFont="1" applyFill="1" applyBorder="1" applyAlignment="1">
      <alignment horizontal="left"/>
    </xf>
    <xf numFmtId="166" fontId="1" fillId="18" borderId="3" xfId="0" applyNumberFormat="1" applyFont="1" applyFill="1" applyBorder="1"/>
    <xf numFmtId="166" fontId="9" fillId="18" borderId="28" xfId="0" applyNumberFormat="1" applyFont="1" applyFill="1" applyBorder="1" applyAlignment="1">
      <alignment horizontal="center"/>
    </xf>
    <xf numFmtId="166" fontId="9" fillId="18" borderId="3" xfId="0" applyNumberFormat="1" applyFont="1" applyFill="1" applyBorder="1" applyAlignment="1">
      <alignment wrapText="1"/>
    </xf>
    <xf numFmtId="166" fontId="9" fillId="18" borderId="3" xfId="0" applyNumberFormat="1" applyFont="1" applyFill="1" applyBorder="1"/>
    <xf numFmtId="166" fontId="9" fillId="18" borderId="3" xfId="0" applyNumberFormat="1" applyFont="1" applyFill="1" applyBorder="1" applyAlignment="1">
      <alignment horizontal="right"/>
    </xf>
    <xf numFmtId="166" fontId="9" fillId="18" borderId="3" xfId="0" applyNumberFormat="1" applyFont="1" applyFill="1" applyBorder="1" applyAlignment="1">
      <alignment horizontal="right" wrapText="1"/>
    </xf>
    <xf numFmtId="0" fontId="9" fillId="18" borderId="19" xfId="0" applyFont="1" applyFill="1" applyBorder="1" applyAlignment="1">
      <alignment horizontal="left"/>
    </xf>
    <xf numFmtId="0" fontId="1" fillId="18" borderId="19" xfId="0" applyFont="1" applyFill="1" applyBorder="1" applyAlignment="1">
      <alignment horizontal="left"/>
    </xf>
    <xf numFmtId="0" fontId="1" fillId="18" borderId="20" xfId="0" applyFont="1" applyFill="1" applyBorder="1" applyAlignment="1">
      <alignment horizontal="left"/>
    </xf>
    <xf numFmtId="0" fontId="9" fillId="18" borderId="19" xfId="0" applyFont="1" applyFill="1" applyBorder="1"/>
    <xf numFmtId="2" fontId="1" fillId="18" borderId="14" xfId="0" applyNumberFormat="1" applyFont="1" applyFill="1" applyBorder="1"/>
    <xf numFmtId="166" fontId="1" fillId="18" borderId="3" xfId="0" applyNumberFormat="1" applyFont="1" applyFill="1" applyBorder="1" applyAlignment="1">
      <alignment horizontal="center"/>
    </xf>
    <xf numFmtId="0" fontId="1" fillId="0" borderId="3" xfId="0" applyFont="1" applyBorder="1" applyAlignment="1">
      <alignment horizontal="left"/>
    </xf>
    <xf numFmtId="0" fontId="1" fillId="0" borderId="1" xfId="0" applyFont="1" applyBorder="1" applyAlignment="1">
      <alignment horizontal="left" vertical="center" wrapText="1"/>
    </xf>
    <xf numFmtId="0" fontId="1" fillId="0" borderId="12" xfId="0" applyFont="1" applyBorder="1" applyAlignment="1">
      <alignment horizontal="left" vertical="center" wrapText="1"/>
    </xf>
    <xf numFmtId="0" fontId="1" fillId="0" borderId="2" xfId="0" applyFont="1" applyBorder="1" applyAlignment="1">
      <alignment horizontal="left" vertical="center" wrapText="1"/>
    </xf>
    <xf numFmtId="0" fontId="1" fillId="0" borderId="51" xfId="0" applyFont="1" applyBorder="1" applyAlignment="1">
      <alignment horizontal="center" vertical="top"/>
    </xf>
    <xf numFmtId="0" fontId="1" fillId="0" borderId="51" xfId="0" applyFont="1" applyBorder="1" applyAlignment="1">
      <alignment horizontal="center" wrapText="1"/>
    </xf>
    <xf numFmtId="166" fontId="9" fillId="3" borderId="3" xfId="0" applyNumberFormat="1" applyFont="1" applyFill="1" applyBorder="1" applyAlignment="1">
      <alignment horizontal="center" vertical="center"/>
    </xf>
    <xf numFmtId="0" fontId="1" fillId="0" borderId="50" xfId="0" applyFont="1" applyBorder="1" applyAlignment="1">
      <alignment horizontal="center" vertical="top"/>
    </xf>
    <xf numFmtId="0" fontId="1" fillId="7" borderId="51" xfId="0" applyFont="1" applyFill="1" applyBorder="1" applyAlignment="1">
      <alignment horizontal="center"/>
    </xf>
    <xf numFmtId="0" fontId="1" fillId="7" borderId="52" xfId="0" applyFont="1" applyFill="1" applyBorder="1"/>
    <xf numFmtId="0" fontId="1" fillId="0" borderId="56" xfId="0" applyFont="1" applyBorder="1" applyAlignment="1">
      <alignment horizontal="center" vertical="top" wrapText="1"/>
    </xf>
    <xf numFmtId="0" fontId="1" fillId="0" borderId="56" xfId="0" applyFont="1" applyBorder="1" applyAlignment="1">
      <alignment horizontal="center" wrapText="1"/>
    </xf>
    <xf numFmtId="0" fontId="1" fillId="0" borderId="57" xfId="0" applyFont="1" applyBorder="1" applyAlignment="1">
      <alignment horizontal="center" vertical="top" wrapText="1"/>
    </xf>
    <xf numFmtId="0" fontId="1" fillId="0" borderId="58" xfId="0" applyFont="1" applyBorder="1" applyAlignment="1">
      <alignment horizontal="center" vertical="top" wrapText="1"/>
    </xf>
    <xf numFmtId="0" fontId="1" fillId="0" borderId="51" xfId="0" applyFont="1" applyBorder="1" applyAlignment="1">
      <alignment wrapText="1"/>
    </xf>
    <xf numFmtId="0" fontId="1" fillId="0" borderId="52" xfId="0" applyFont="1" applyBorder="1" applyAlignment="1">
      <alignment wrapText="1"/>
    </xf>
    <xf numFmtId="0" fontId="1" fillId="16" borderId="3" xfId="0" applyFont="1" applyFill="1" applyBorder="1" applyAlignment="1" applyProtection="1">
      <alignment horizontal="center"/>
      <protection locked="0"/>
    </xf>
    <xf numFmtId="0" fontId="1" fillId="16" borderId="19" xfId="0" applyFont="1" applyFill="1" applyBorder="1" applyAlignment="1">
      <alignment horizontal="left"/>
    </xf>
    <xf numFmtId="0" fontId="1" fillId="16" borderId="21" xfId="0" applyFont="1" applyFill="1" applyBorder="1" applyAlignment="1">
      <alignment horizontal="center"/>
    </xf>
    <xf numFmtId="0" fontId="1" fillId="16" borderId="14" xfId="0" applyFont="1" applyFill="1" applyBorder="1" applyAlignment="1">
      <alignment horizontal="center"/>
    </xf>
    <xf numFmtId="0" fontId="3" fillId="0" borderId="0" xfId="0" applyFont="1" applyAlignment="1">
      <alignment horizontal="left"/>
    </xf>
    <xf numFmtId="0" fontId="1" fillId="0" borderId="3" xfId="0" applyFont="1" applyBorder="1" applyAlignment="1">
      <alignment horizontal="center" vertical="center"/>
    </xf>
    <xf numFmtId="0" fontId="9" fillId="11" borderId="3" xfId="0" applyFont="1" applyFill="1" applyBorder="1" applyAlignment="1">
      <alignment horizontal="center" vertical="center" wrapText="1"/>
    </xf>
    <xf numFmtId="0" fontId="1" fillId="0" borderId="3" xfId="0" applyFont="1" applyBorder="1" applyAlignment="1">
      <alignment horizontal="left" vertical="center"/>
    </xf>
    <xf numFmtId="0" fontId="1" fillId="0" borderId="3" xfId="0" applyFont="1" applyBorder="1" applyAlignment="1">
      <alignment horizontal="left" vertical="center" wrapText="1"/>
    </xf>
    <xf numFmtId="0" fontId="1" fillId="18" borderId="3" xfId="0" applyFont="1" applyFill="1" applyBorder="1" applyAlignment="1">
      <alignment horizontal="center"/>
    </xf>
    <xf numFmtId="0" fontId="1" fillId="0" borderId="0" xfId="0" applyFont="1" applyAlignment="1" applyProtection="1">
      <alignment horizontal="center" vertical="center"/>
      <protection locked="0"/>
    </xf>
    <xf numFmtId="0" fontId="9" fillId="21" borderId="59" xfId="0" applyFont="1" applyFill="1" applyBorder="1"/>
    <xf numFmtId="0" fontId="1" fillId="0" borderId="60" xfId="0" applyFont="1" applyBorder="1"/>
    <xf numFmtId="0" fontId="1" fillId="0" borderId="61" xfId="0" applyFont="1" applyBorder="1"/>
    <xf numFmtId="0" fontId="1" fillId="21" borderId="58" xfId="0" applyFont="1" applyFill="1" applyBorder="1" applyAlignment="1">
      <alignment horizontal="center"/>
    </xf>
    <xf numFmtId="0" fontId="1" fillId="0" borderId="56" xfId="0" applyFont="1" applyBorder="1" applyAlignment="1">
      <alignment horizontal="center"/>
    </xf>
    <xf numFmtId="0" fontId="1" fillId="0" borderId="57" xfId="0" applyFont="1" applyBorder="1" applyAlignment="1">
      <alignment horizontal="center"/>
    </xf>
    <xf numFmtId="2" fontId="1" fillId="0" borderId="0" xfId="0" applyNumberFormat="1" applyFont="1" applyAlignment="1">
      <alignment horizontal="center" vertical="top" wrapText="1"/>
    </xf>
    <xf numFmtId="2" fontId="1" fillId="0" borderId="0" xfId="0" applyNumberFormat="1" applyFont="1" applyAlignment="1">
      <alignment horizontal="center" wrapText="1"/>
    </xf>
    <xf numFmtId="0" fontId="1" fillId="2" borderId="3" xfId="0" applyFont="1" applyFill="1" applyBorder="1" applyAlignment="1">
      <alignment wrapText="1"/>
    </xf>
    <xf numFmtId="0" fontId="1" fillId="21" borderId="3" xfId="0" applyFont="1" applyFill="1" applyBorder="1" applyAlignment="1">
      <alignment wrapText="1"/>
    </xf>
    <xf numFmtId="0" fontId="1" fillId="8" borderId="3" xfId="0" applyFont="1" applyFill="1" applyBorder="1" applyAlignment="1">
      <alignment wrapText="1"/>
    </xf>
    <xf numFmtId="0" fontId="1" fillId="18" borderId="3" xfId="0" applyFont="1" applyFill="1" applyBorder="1" applyAlignment="1">
      <alignment wrapText="1"/>
    </xf>
    <xf numFmtId="0" fontId="1" fillId="11" borderId="3" xfId="0" applyFont="1" applyFill="1" applyBorder="1" applyAlignment="1">
      <alignment wrapText="1"/>
    </xf>
    <xf numFmtId="0" fontId="1" fillId="4" borderId="3" xfId="0" applyFont="1" applyFill="1" applyBorder="1" applyAlignment="1">
      <alignment wrapText="1"/>
    </xf>
    <xf numFmtId="0" fontId="1" fillId="6" borderId="3" xfId="0" applyFont="1" applyFill="1" applyBorder="1" applyAlignment="1">
      <alignment wrapText="1"/>
    </xf>
    <xf numFmtId="0" fontId="1" fillId="15" borderId="3" xfId="0" applyFont="1" applyFill="1" applyBorder="1" applyAlignment="1">
      <alignment wrapText="1"/>
    </xf>
    <xf numFmtId="0" fontId="1" fillId="22" borderId="3" xfId="0" applyFont="1" applyFill="1" applyBorder="1" applyAlignment="1">
      <alignment horizontal="left" wrapText="1" indent="1"/>
    </xf>
    <xf numFmtId="0" fontId="1" fillId="0" borderId="3" xfId="0" applyFont="1" applyBorder="1" applyAlignment="1">
      <alignment horizontal="left" indent="2"/>
    </xf>
    <xf numFmtId="2" fontId="1" fillId="0" borderId="3" xfId="0" applyNumberFormat="1" applyFont="1" applyBorder="1" applyAlignment="1">
      <alignment horizontal="center"/>
    </xf>
    <xf numFmtId="0" fontId="9" fillId="11" borderId="3" xfId="0" applyFont="1" applyFill="1" applyBorder="1" applyAlignment="1">
      <alignment horizontal="center" vertical="center"/>
    </xf>
    <xf numFmtId="0" fontId="9" fillId="0" borderId="3" xfId="0" applyFont="1" applyBorder="1" applyAlignment="1">
      <alignment horizontal="left" vertical="center" wrapText="1"/>
    </xf>
    <xf numFmtId="0" fontId="9" fillId="0" borderId="3" xfId="0" applyFont="1" applyBorder="1" applyAlignment="1">
      <alignment vertical="center" wrapText="1"/>
    </xf>
    <xf numFmtId="166" fontId="9" fillId="0" borderId="3" xfId="0" applyNumberFormat="1" applyFont="1" applyBorder="1" applyAlignment="1">
      <alignment vertical="center"/>
    </xf>
    <xf numFmtId="3" fontId="9" fillId="20" borderId="3" xfId="0" applyNumberFormat="1" applyFont="1" applyFill="1" applyBorder="1" applyAlignment="1">
      <alignment horizontal="right" vertical="center"/>
    </xf>
    <xf numFmtId="0" fontId="39" fillId="0" borderId="0" xfId="0" applyFont="1" applyAlignment="1">
      <alignment horizontal="left" vertical="top" wrapText="1"/>
    </xf>
    <xf numFmtId="164" fontId="1" fillId="18" borderId="3" xfId="0" applyNumberFormat="1" applyFont="1" applyFill="1" applyBorder="1" applyAlignment="1">
      <alignment horizontal="center"/>
    </xf>
    <xf numFmtId="0" fontId="9" fillId="0" borderId="3" xfId="0" applyFont="1" applyBorder="1" applyAlignment="1">
      <alignment horizontal="center" wrapText="1"/>
    </xf>
    <xf numFmtId="0" fontId="1" fillId="18" borderId="3" xfId="0" applyFont="1" applyFill="1" applyBorder="1" applyAlignment="1">
      <alignment horizontal="center" vertical="center" wrapText="1"/>
    </xf>
    <xf numFmtId="0" fontId="1" fillId="2" borderId="3" xfId="0" applyFont="1" applyFill="1" applyBorder="1" applyAlignment="1" applyProtection="1">
      <alignment horizontal="center" vertical="center" wrapText="1"/>
      <protection locked="0"/>
    </xf>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166" fontId="9" fillId="0" borderId="3" xfId="0" applyNumberFormat="1" applyFont="1" applyBorder="1" applyAlignment="1">
      <alignment horizontal="center" vertical="center"/>
    </xf>
    <xf numFmtId="0" fontId="1" fillId="2" borderId="3" xfId="0" applyFont="1" applyFill="1" applyBorder="1" applyAlignment="1" applyProtection="1">
      <alignment horizontal="center" wrapText="1"/>
      <protection locked="0"/>
    </xf>
    <xf numFmtId="0" fontId="9" fillId="0" borderId="3" xfId="0" applyFont="1" applyBorder="1" applyAlignment="1">
      <alignment horizontal="center" vertical="top" wrapText="1"/>
    </xf>
    <xf numFmtId="0" fontId="1" fillId="2" borderId="3" xfId="0" applyFont="1" applyFill="1" applyBorder="1" applyAlignment="1" applyProtection="1">
      <alignment vertical="top" wrapText="1"/>
      <protection locked="0"/>
    </xf>
    <xf numFmtId="0" fontId="9" fillId="18" borderId="3" xfId="0" applyFont="1" applyFill="1" applyBorder="1" applyAlignment="1">
      <alignment horizontal="center" vertical="top" wrapText="1"/>
    </xf>
    <xf numFmtId="0" fontId="9" fillId="18" borderId="3" xfId="0" applyFont="1" applyFill="1" applyBorder="1" applyAlignment="1">
      <alignment vertical="top" wrapText="1"/>
    </xf>
    <xf numFmtId="0" fontId="1" fillId="2" borderId="30" xfId="0" applyFont="1" applyFill="1" applyBorder="1" applyAlignment="1" applyProtection="1">
      <alignment horizontal="center"/>
      <protection locked="0"/>
    </xf>
    <xf numFmtId="0" fontId="1" fillId="0" borderId="21" xfId="0" applyFont="1" applyBorder="1" applyAlignment="1">
      <alignment horizontal="center"/>
    </xf>
    <xf numFmtId="0" fontId="1" fillId="21" borderId="3" xfId="0" applyFont="1" applyFill="1" applyBorder="1" applyAlignment="1" applyProtection="1">
      <alignment horizontal="center"/>
      <protection locked="0"/>
    </xf>
    <xf numFmtId="0" fontId="9" fillId="0" borderId="3" xfId="0" applyFont="1" applyBorder="1"/>
    <xf numFmtId="43" fontId="1" fillId="0" borderId="0" xfId="2" applyFont="1" applyFill="1" applyBorder="1" applyAlignment="1" applyProtection="1">
      <alignment horizontal="center" vertical="center" wrapText="1"/>
    </xf>
    <xf numFmtId="0" fontId="9" fillId="18" borderId="30" xfId="0" applyFont="1" applyFill="1" applyBorder="1" applyAlignment="1">
      <alignment horizontal="center"/>
    </xf>
    <xf numFmtId="16" fontId="1" fillId="0" borderId="0" xfId="0" applyNumberFormat="1" applyFont="1" applyAlignment="1">
      <alignment horizontal="center"/>
    </xf>
    <xf numFmtId="0" fontId="12" fillId="0" borderId="3" xfId="0" applyFont="1" applyBorder="1" applyAlignment="1">
      <alignment horizontal="center"/>
    </xf>
    <xf numFmtId="164" fontId="1" fillId="20" borderId="3" xfId="0" applyNumberFormat="1" applyFont="1" applyFill="1" applyBorder="1" applyAlignment="1">
      <alignment horizontal="center"/>
    </xf>
    <xf numFmtId="1" fontId="1" fillId="18" borderId="3" xfId="0" applyNumberFormat="1" applyFont="1" applyFill="1" applyBorder="1" applyAlignment="1">
      <alignment horizontal="center"/>
    </xf>
    <xf numFmtId="1" fontId="1" fillId="20" borderId="3" xfId="0" applyNumberFormat="1" applyFont="1" applyFill="1" applyBorder="1" applyAlignment="1">
      <alignment horizontal="center"/>
    </xf>
    <xf numFmtId="1" fontId="9" fillId="20" borderId="3" xfId="0" applyNumberFormat="1" applyFont="1" applyFill="1" applyBorder="1" applyAlignment="1">
      <alignment horizontal="center"/>
    </xf>
    <xf numFmtId="0" fontId="9" fillId="18" borderId="3" xfId="0" applyFont="1" applyFill="1" applyBorder="1" applyAlignment="1">
      <alignment horizontal="center"/>
    </xf>
    <xf numFmtId="1" fontId="9" fillId="0" borderId="0" xfId="0" applyNumberFormat="1" applyFont="1" applyAlignment="1">
      <alignment horizontal="center"/>
    </xf>
    <xf numFmtId="0" fontId="9" fillId="16" borderId="3" xfId="0" applyFont="1" applyFill="1" applyBorder="1" applyAlignment="1" applyProtection="1">
      <alignment horizontal="center"/>
      <protection locked="0"/>
    </xf>
    <xf numFmtId="0" fontId="9" fillId="0" borderId="30" xfId="0" applyFont="1" applyBorder="1" applyAlignment="1">
      <alignment horizontal="left"/>
    </xf>
    <xf numFmtId="0" fontId="1" fillId="18" borderId="3" xfId="0" applyFont="1" applyFill="1" applyBorder="1"/>
    <xf numFmtId="0" fontId="1" fillId="0" borderId="3" xfId="0" applyFont="1" applyBorder="1" applyAlignment="1">
      <alignment vertical="top" wrapText="1"/>
    </xf>
    <xf numFmtId="0" fontId="9" fillId="16" borderId="3" xfId="0" applyFont="1" applyFill="1" applyBorder="1" applyAlignment="1">
      <alignment horizontal="center"/>
    </xf>
    <xf numFmtId="0" fontId="9" fillId="18" borderId="3" xfId="0" applyFont="1" applyFill="1" applyBorder="1" applyAlignment="1">
      <alignment horizontal="center" vertical="center" wrapText="1"/>
    </xf>
    <xf numFmtId="167" fontId="1" fillId="4" borderId="3" xfId="2" applyNumberFormat="1" applyFont="1" applyFill="1" applyBorder="1" applyAlignment="1" applyProtection="1">
      <alignment horizontal="center"/>
    </xf>
    <xf numFmtId="0" fontId="1" fillId="2" borderId="3" xfId="0" applyFont="1" applyFill="1" applyBorder="1" applyAlignment="1" applyProtection="1">
      <alignment horizontal="center" vertical="top" wrapText="1"/>
      <protection locked="0"/>
    </xf>
    <xf numFmtId="0" fontId="1" fillId="2" borderId="3" xfId="0" applyFont="1" applyFill="1" applyBorder="1" applyAlignment="1" applyProtection="1">
      <alignment horizontal="center" vertical="center"/>
      <protection locked="0"/>
    </xf>
    <xf numFmtId="0" fontId="1" fillId="2" borderId="3" xfId="0" applyFont="1" applyFill="1" applyBorder="1" applyAlignment="1">
      <alignment horizontal="center" vertical="center"/>
    </xf>
    <xf numFmtId="14" fontId="1" fillId="2" borderId="3" xfId="0" applyNumberFormat="1" applyFont="1" applyFill="1" applyBorder="1" applyAlignment="1" applyProtection="1">
      <alignment horizontal="center" vertical="center"/>
      <protection locked="0"/>
    </xf>
    <xf numFmtId="0" fontId="38" fillId="20" borderId="3" xfId="0" applyFont="1" applyFill="1" applyBorder="1" applyAlignment="1">
      <alignment horizontal="center" vertical="center"/>
    </xf>
    <xf numFmtId="0" fontId="9" fillId="18" borderId="3" xfId="0" applyFont="1" applyFill="1" applyBorder="1"/>
    <xf numFmtId="1" fontId="1" fillId="2" borderId="3" xfId="0" applyNumberFormat="1" applyFont="1" applyFill="1" applyBorder="1" applyAlignment="1" applyProtection="1">
      <alignment horizontal="center"/>
      <protection locked="0"/>
    </xf>
    <xf numFmtId="2" fontId="1" fillId="4" borderId="3" xfId="0" applyNumberFormat="1" applyFont="1" applyFill="1" applyBorder="1" applyAlignment="1">
      <alignment horizontal="center"/>
    </xf>
    <xf numFmtId="0" fontId="1" fillId="2" borderId="19" xfId="0" applyFont="1" applyFill="1" applyBorder="1" applyAlignment="1" applyProtection="1">
      <alignment vertical="top" wrapText="1"/>
      <protection locked="0"/>
    </xf>
    <xf numFmtId="0" fontId="1" fillId="21" borderId="3" xfId="0" applyFont="1" applyFill="1" applyBorder="1" applyProtection="1">
      <protection locked="0"/>
    </xf>
    <xf numFmtId="2" fontId="9" fillId="4" borderId="3" xfId="0" applyNumberFormat="1" applyFont="1" applyFill="1" applyBorder="1" applyAlignment="1">
      <alignment horizontal="center"/>
    </xf>
    <xf numFmtId="0" fontId="9" fillId="11" borderId="3" xfId="0" applyFont="1" applyFill="1" applyBorder="1" applyAlignment="1">
      <alignment horizontal="center" vertical="top" wrapText="1"/>
    </xf>
    <xf numFmtId="0" fontId="9" fillId="11" borderId="3" xfId="0" applyFont="1" applyFill="1" applyBorder="1" applyAlignment="1">
      <alignment horizontal="center" wrapText="1"/>
    </xf>
    <xf numFmtId="2" fontId="9" fillId="4" borderId="3" xfId="0" applyNumberFormat="1" applyFont="1" applyFill="1" applyBorder="1" applyAlignment="1">
      <alignment horizontal="center" vertical="center" wrapText="1"/>
    </xf>
    <xf numFmtId="0" fontId="32" fillId="0" borderId="0" xfId="0" applyFont="1" applyAlignment="1">
      <alignment vertical="center"/>
    </xf>
    <xf numFmtId="166" fontId="9" fillId="0" borderId="3" xfId="0" applyNumberFormat="1" applyFont="1" applyBorder="1" applyAlignment="1">
      <alignment horizontal="center" vertical="center" wrapText="1"/>
    </xf>
    <xf numFmtId="0" fontId="1" fillId="0" borderId="30" xfId="0" applyFont="1" applyBorder="1"/>
    <xf numFmtId="0" fontId="1" fillId="3" borderId="30" xfId="0" applyFont="1" applyFill="1" applyBorder="1" applyAlignment="1">
      <alignment horizontal="center"/>
    </xf>
    <xf numFmtId="0" fontId="9" fillId="0" borderId="19" xfId="0" applyFont="1" applyBorder="1"/>
    <xf numFmtId="0" fontId="9" fillId="0" borderId="21" xfId="0" applyFont="1" applyBorder="1" applyAlignment="1">
      <alignment horizontal="center"/>
    </xf>
    <xf numFmtId="166" fontId="1" fillId="0" borderId="21" xfId="0" applyNumberFormat="1" applyFont="1" applyBorder="1" applyAlignment="1">
      <alignment horizontal="center"/>
    </xf>
    <xf numFmtId="0" fontId="1" fillId="3" borderId="3" xfId="0" applyFont="1" applyFill="1" applyBorder="1" applyAlignment="1">
      <alignment horizontal="center" vertical="center" wrapText="1"/>
    </xf>
    <xf numFmtId="165" fontId="1" fillId="4" borderId="3" xfId="0" applyNumberFormat="1" applyFont="1" applyFill="1" applyBorder="1" applyAlignment="1">
      <alignment horizontal="center" vertical="top" wrapText="1"/>
    </xf>
    <xf numFmtId="165" fontId="9" fillId="0" borderId="3" xfId="0" applyNumberFormat="1" applyFont="1" applyBorder="1" applyAlignment="1">
      <alignment horizontal="center" vertical="top" wrapText="1"/>
    </xf>
    <xf numFmtId="0" fontId="9" fillId="23" borderId="19" xfId="0" applyFont="1" applyFill="1" applyBorder="1" applyAlignment="1">
      <alignment horizontal="left"/>
    </xf>
    <xf numFmtId="0" fontId="1" fillId="23" borderId="19" xfId="0" applyFont="1" applyFill="1" applyBorder="1" applyAlignment="1">
      <alignment horizontal="left"/>
    </xf>
    <xf numFmtId="2" fontId="1" fillId="23" borderId="21" xfId="0" applyNumberFormat="1" applyFont="1" applyFill="1" applyBorder="1"/>
    <xf numFmtId="0" fontId="9" fillId="23" borderId="14" xfId="0" applyFont="1" applyFill="1" applyBorder="1" applyAlignment="1">
      <alignment horizontal="center"/>
    </xf>
    <xf numFmtId="166" fontId="1" fillId="4" borderId="3" xfId="0" applyNumberFormat="1" applyFont="1" applyFill="1" applyBorder="1" applyAlignment="1">
      <alignment horizontal="center" vertical="center"/>
    </xf>
    <xf numFmtId="166" fontId="9" fillId="4" borderId="3" xfId="0" applyNumberFormat="1" applyFont="1" applyFill="1" applyBorder="1" applyAlignment="1">
      <alignment horizontal="center" vertical="center"/>
    </xf>
    <xf numFmtId="166" fontId="9" fillId="4" borderId="14" xfId="0" applyNumberFormat="1" applyFont="1" applyFill="1" applyBorder="1" applyAlignment="1">
      <alignment horizontal="center" vertical="center"/>
    </xf>
    <xf numFmtId="0" fontId="1" fillId="0" borderId="21" xfId="0" applyFont="1" applyBorder="1"/>
    <xf numFmtId="0" fontId="1" fillId="0" borderId="14" xfId="0" applyFont="1" applyBorder="1"/>
    <xf numFmtId="2" fontId="1" fillId="0" borderId="0" xfId="0" applyNumberFormat="1" applyFont="1" applyAlignment="1">
      <alignment horizontal="center"/>
    </xf>
    <xf numFmtId="0" fontId="1" fillId="18" borderId="30" xfId="0" applyFont="1" applyFill="1" applyBorder="1" applyAlignment="1">
      <alignment horizontal="center"/>
    </xf>
    <xf numFmtId="2" fontId="1" fillId="18" borderId="3" xfId="0" applyNumberFormat="1" applyFont="1" applyFill="1" applyBorder="1" applyAlignment="1">
      <alignment horizontal="center"/>
    </xf>
    <xf numFmtId="3" fontId="9" fillId="4" borderId="3" xfId="0" applyNumberFormat="1" applyFont="1" applyFill="1" applyBorder="1" applyAlignment="1">
      <alignment horizontal="center"/>
    </xf>
    <xf numFmtId="49" fontId="9" fillId="18" borderId="3" xfId="0" applyNumberFormat="1" applyFont="1" applyFill="1" applyBorder="1" applyAlignment="1">
      <alignment horizontal="center"/>
    </xf>
    <xf numFmtId="166" fontId="9" fillId="0" borderId="3" xfId="0" applyNumberFormat="1" applyFont="1" applyBorder="1" applyAlignment="1">
      <alignment horizontal="center"/>
    </xf>
    <xf numFmtId="166" fontId="9" fillId="18" borderId="30" xfId="0" applyNumberFormat="1" applyFont="1" applyFill="1" applyBorder="1" applyAlignment="1">
      <alignment horizontal="center"/>
    </xf>
    <xf numFmtId="166" fontId="9" fillId="18" borderId="8" xfId="0" applyNumberFormat="1" applyFont="1" applyFill="1" applyBorder="1" applyAlignment="1">
      <alignment horizontal="center"/>
    </xf>
    <xf numFmtId="14" fontId="9" fillId="18" borderId="3" xfId="2" applyNumberFormat="1" applyFont="1" applyFill="1" applyBorder="1" applyAlignment="1" applyProtection="1">
      <alignment horizontal="center"/>
    </xf>
    <xf numFmtId="14" fontId="9" fillId="18" borderId="3" xfId="0" applyNumberFormat="1" applyFont="1" applyFill="1" applyBorder="1" applyAlignment="1">
      <alignment horizontal="center"/>
    </xf>
    <xf numFmtId="166" fontId="3" fillId="24" borderId="3" xfId="0" applyNumberFormat="1" applyFont="1" applyFill="1" applyBorder="1" applyAlignment="1">
      <alignment vertical="center"/>
    </xf>
    <xf numFmtId="3" fontId="3" fillId="24" borderId="3" xfId="0" applyNumberFormat="1" applyFont="1" applyFill="1" applyBorder="1" applyAlignment="1">
      <alignment horizontal="right" vertical="center"/>
    </xf>
    <xf numFmtId="0" fontId="22" fillId="0" borderId="46" xfId="0" applyFont="1" applyBorder="1" applyAlignment="1">
      <alignment vertical="top"/>
    </xf>
    <xf numFmtId="0" fontId="22" fillId="0" borderId="46" xfId="0" applyFont="1" applyBorder="1"/>
    <xf numFmtId="0" fontId="22" fillId="0" borderId="46" xfId="0" applyFont="1" applyBorder="1" applyAlignment="1">
      <alignment horizontal="center"/>
    </xf>
    <xf numFmtId="0" fontId="3" fillId="0" borderId="46" xfId="0" applyFont="1" applyBorder="1" applyAlignment="1">
      <alignment vertical="top"/>
    </xf>
    <xf numFmtId="0" fontId="9" fillId="18" borderId="3" xfId="0" applyFont="1" applyFill="1" applyBorder="1" applyAlignment="1">
      <alignment horizontal="center" vertical="center"/>
    </xf>
    <xf numFmtId="166" fontId="12" fillId="0" borderId="3" xfId="0" applyNumberFormat="1" applyFont="1" applyBorder="1" applyAlignment="1">
      <alignment horizontal="center"/>
    </xf>
    <xf numFmtId="166" fontId="9" fillId="0" borderId="3" xfId="0" applyNumberFormat="1" applyFont="1" applyBorder="1" applyAlignment="1">
      <alignment horizontal="center" wrapText="1"/>
    </xf>
    <xf numFmtId="3" fontId="14" fillId="2" borderId="3" xfId="0" applyNumberFormat="1" applyFont="1" applyFill="1" applyBorder="1" applyAlignment="1" applyProtection="1">
      <alignment horizontal="center"/>
      <protection locked="0"/>
    </xf>
    <xf numFmtId="3" fontId="1" fillId="4" borderId="3" xfId="0" applyNumberFormat="1" applyFont="1" applyFill="1" applyBorder="1" applyAlignment="1">
      <alignment horizontal="center"/>
    </xf>
    <xf numFmtId="166" fontId="12" fillId="0" borderId="14" xfId="0" applyNumberFormat="1" applyFont="1" applyBorder="1" applyAlignment="1">
      <alignment horizontal="center"/>
    </xf>
    <xf numFmtId="166" fontId="1" fillId="4" borderId="14" xfId="0" applyNumberFormat="1" applyFont="1" applyFill="1" applyBorder="1" applyAlignment="1">
      <alignment horizontal="center"/>
    </xf>
    <xf numFmtId="0" fontId="9" fillId="18" borderId="3" xfId="0" applyFont="1" applyFill="1" applyBorder="1" applyAlignment="1">
      <alignment horizontal="center" wrapText="1"/>
    </xf>
    <xf numFmtId="0" fontId="9" fillId="4" borderId="3" xfId="0" applyFont="1" applyFill="1" applyBorder="1" applyAlignment="1">
      <alignment horizontal="center"/>
    </xf>
    <xf numFmtId="166" fontId="9" fillId="4" borderId="3" xfId="0" applyNumberFormat="1" applyFont="1" applyFill="1" applyBorder="1" applyAlignment="1">
      <alignment horizontal="center"/>
    </xf>
    <xf numFmtId="166" fontId="9" fillId="0" borderId="21" xfId="0" applyNumberFormat="1" applyFont="1" applyBorder="1" applyAlignment="1">
      <alignment horizontal="center"/>
    </xf>
    <xf numFmtId="166" fontId="9" fillId="0" borderId="14" xfId="0" applyNumberFormat="1" applyFont="1" applyBorder="1" applyAlignment="1">
      <alignment horizontal="center"/>
    </xf>
    <xf numFmtId="3" fontId="14" fillId="8" borderId="3" xfId="0" applyNumberFormat="1" applyFont="1" applyFill="1" applyBorder="1"/>
    <xf numFmtId="166" fontId="1" fillId="15" borderId="3" xfId="0" applyNumberFormat="1" applyFont="1" applyFill="1" applyBorder="1" applyAlignment="1">
      <alignment vertical="center" wrapText="1"/>
    </xf>
    <xf numFmtId="166" fontId="1" fillId="0" borderId="21" xfId="0" applyNumberFormat="1" applyFont="1" applyBorder="1"/>
    <xf numFmtId="166" fontId="1" fillId="0" borderId="14" xfId="0" applyNumberFormat="1" applyFont="1" applyBorder="1"/>
    <xf numFmtId="166" fontId="9" fillId="4" borderId="3" xfId="0" applyNumberFormat="1" applyFont="1" applyFill="1" applyBorder="1"/>
    <xf numFmtId="166" fontId="9" fillId="4" borderId="13" xfId="0" applyNumberFormat="1" applyFont="1" applyFill="1" applyBorder="1"/>
    <xf numFmtId="0" fontId="1" fillId="11" borderId="30" xfId="0" applyFont="1" applyFill="1" applyBorder="1" applyAlignment="1">
      <alignment horizontal="center"/>
    </xf>
    <xf numFmtId="166" fontId="1" fillId="4" borderId="30" xfId="0" applyNumberFormat="1" applyFont="1" applyFill="1" applyBorder="1"/>
    <xf numFmtId="166" fontId="1" fillId="18" borderId="30" xfId="0" applyNumberFormat="1" applyFont="1" applyFill="1" applyBorder="1"/>
    <xf numFmtId="3" fontId="1" fillId="4" borderId="30" xfId="0" applyNumberFormat="1" applyFont="1" applyFill="1" applyBorder="1" applyAlignment="1">
      <alignment horizontal="center"/>
    </xf>
    <xf numFmtId="0" fontId="9" fillId="0" borderId="21" xfId="0" applyFont="1" applyBorder="1"/>
    <xf numFmtId="166" fontId="9" fillId="0" borderId="21" xfId="0" applyNumberFormat="1" applyFont="1" applyBorder="1"/>
    <xf numFmtId="166" fontId="9" fillId="0" borderId="14" xfId="0" applyNumberFormat="1" applyFont="1" applyBorder="1"/>
    <xf numFmtId="166" fontId="9" fillId="4" borderId="14" xfId="0" applyNumberFormat="1" applyFont="1" applyFill="1" applyBorder="1"/>
    <xf numFmtId="3" fontId="14" fillId="8" borderId="14" xfId="0" applyNumberFormat="1" applyFont="1" applyFill="1" applyBorder="1"/>
    <xf numFmtId="0" fontId="9" fillId="0" borderId="19" xfId="0" applyFont="1" applyBorder="1" applyAlignment="1">
      <alignment horizontal="center" wrapText="1"/>
    </xf>
    <xf numFmtId="0" fontId="9" fillId="0" borderId="40" xfId="0" applyFont="1" applyBorder="1" applyAlignment="1">
      <alignment horizontal="center" wrapText="1"/>
    </xf>
    <xf numFmtId="0" fontId="1" fillId="0" borderId="40" xfId="0" applyFont="1" applyBorder="1" applyAlignment="1" applyProtection="1">
      <alignment horizontal="center"/>
      <protection locked="0"/>
    </xf>
    <xf numFmtId="0" fontId="1" fillId="16" borderId="19" xfId="0" applyFont="1" applyFill="1" applyBorder="1" applyAlignment="1" applyProtection="1">
      <alignment horizontal="center" vertical="top" wrapText="1"/>
      <protection locked="0"/>
    </xf>
    <xf numFmtId="0" fontId="1" fillId="16" borderId="8" xfId="0" applyFont="1" applyFill="1" applyBorder="1" applyAlignment="1" applyProtection="1">
      <alignment horizontal="center"/>
      <protection locked="0"/>
    </xf>
    <xf numFmtId="0" fontId="9" fillId="0" borderId="8" xfId="0" applyFont="1" applyBorder="1" applyAlignment="1">
      <alignment horizontal="center"/>
    </xf>
    <xf numFmtId="0" fontId="9" fillId="0" borderId="63" xfId="0" applyFont="1" applyBorder="1" applyAlignment="1">
      <alignment horizontal="center"/>
    </xf>
    <xf numFmtId="0" fontId="9" fillId="0" borderId="13" xfId="0" applyFont="1" applyBorder="1" applyAlignment="1">
      <alignment horizontal="center"/>
    </xf>
    <xf numFmtId="0" fontId="1" fillId="0" borderId="8" xfId="0" applyFont="1" applyBorder="1" applyAlignment="1">
      <alignment horizontal="left"/>
    </xf>
    <xf numFmtId="0" fontId="9" fillId="25" borderId="3" xfId="0" applyFont="1" applyFill="1" applyBorder="1" applyAlignment="1">
      <alignment horizontal="center"/>
    </xf>
    <xf numFmtId="9" fontId="1" fillId="25" borderId="3" xfId="1" applyFont="1" applyFill="1" applyBorder="1" applyAlignment="1">
      <alignment horizontal="center"/>
    </xf>
    <xf numFmtId="0" fontId="1" fillId="18" borderId="19" xfId="0" applyFont="1" applyFill="1" applyBorder="1" applyAlignment="1">
      <alignment horizontal="center"/>
    </xf>
    <xf numFmtId="0" fontId="1" fillId="0" borderId="42" xfId="0" applyFont="1" applyBorder="1" applyAlignment="1">
      <alignment horizontal="center"/>
    </xf>
    <xf numFmtId="2" fontId="1" fillId="20" borderId="3" xfId="0" applyNumberFormat="1" applyFont="1" applyFill="1" applyBorder="1"/>
    <xf numFmtId="2" fontId="1" fillId="18" borderId="30" xfId="0" applyNumberFormat="1" applyFont="1" applyFill="1" applyBorder="1" applyAlignment="1">
      <alignment horizontal="center"/>
    </xf>
    <xf numFmtId="2" fontId="1" fillId="20" borderId="3" xfId="0" applyNumberFormat="1" applyFont="1" applyFill="1" applyBorder="1" applyAlignment="1">
      <alignment horizontal="center"/>
    </xf>
    <xf numFmtId="2" fontId="9" fillId="0" borderId="3" xfId="0" applyNumberFormat="1" applyFont="1" applyBorder="1" applyAlignment="1">
      <alignment horizontal="center"/>
    </xf>
    <xf numFmtId="2" fontId="9" fillId="20" borderId="3" xfId="0" applyNumberFormat="1" applyFont="1" applyFill="1" applyBorder="1" applyAlignment="1">
      <alignment horizontal="center"/>
    </xf>
    <xf numFmtId="2" fontId="9" fillId="20" borderId="30" xfId="0" applyNumberFormat="1" applyFont="1" applyFill="1" applyBorder="1" applyAlignment="1">
      <alignment horizontal="center"/>
    </xf>
    <xf numFmtId="0" fontId="12" fillId="0" borderId="3" xfId="0" applyFont="1" applyBorder="1" applyAlignment="1">
      <alignment horizontal="right" vertical="top" wrapText="1"/>
    </xf>
    <xf numFmtId="0" fontId="6" fillId="0" borderId="3" xfId="0" applyFont="1" applyBorder="1" applyAlignment="1">
      <alignment horizontal="center"/>
    </xf>
    <xf numFmtId="164" fontId="1" fillId="2" borderId="3" xfId="0" applyNumberFormat="1" applyFont="1" applyFill="1" applyBorder="1" applyAlignment="1" applyProtection="1">
      <alignment horizontal="center"/>
      <protection locked="0"/>
    </xf>
    <xf numFmtId="167" fontId="1" fillId="2" borderId="3" xfId="2" applyNumberFormat="1" applyFont="1" applyFill="1" applyBorder="1" applyAlignment="1" applyProtection="1">
      <alignment horizontal="center" vertical="top" wrapText="1"/>
      <protection locked="0"/>
    </xf>
    <xf numFmtId="0" fontId="9" fillId="0" borderId="28" xfId="0" applyFont="1" applyBorder="1" applyAlignment="1">
      <alignment wrapText="1"/>
    </xf>
    <xf numFmtId="0" fontId="3" fillId="0" borderId="30" xfId="0" applyFont="1" applyBorder="1" applyAlignment="1">
      <alignment wrapText="1"/>
    </xf>
    <xf numFmtId="0" fontId="1" fillId="0" borderId="28" xfId="0" applyFont="1" applyBorder="1" applyAlignment="1">
      <alignment wrapText="1"/>
    </xf>
    <xf numFmtId="0" fontId="1" fillId="0" borderId="8" xfId="0" applyFont="1" applyBorder="1" applyAlignment="1">
      <alignment wrapText="1"/>
    </xf>
    <xf numFmtId="0" fontId="3" fillId="0" borderId="28" xfId="0" applyFont="1" applyBorder="1" applyAlignment="1">
      <alignment wrapText="1"/>
    </xf>
    <xf numFmtId="0" fontId="13" fillId="0" borderId="30" xfId="0" applyFont="1" applyBorder="1" applyAlignment="1">
      <alignment wrapText="1"/>
    </xf>
    <xf numFmtId="0" fontId="13" fillId="0" borderId="28" xfId="0" applyFont="1" applyBorder="1" applyAlignment="1">
      <alignment horizontal="center" wrapText="1"/>
    </xf>
    <xf numFmtId="0" fontId="13" fillId="0" borderId="28" xfId="0" applyFont="1" applyBorder="1" applyAlignment="1">
      <alignment horizontal="center"/>
    </xf>
    <xf numFmtId="0" fontId="15" fillId="15" borderId="28" xfId="0" applyFont="1" applyFill="1" applyBorder="1" applyAlignment="1">
      <alignment horizontal="left" vertical="top" wrapText="1"/>
    </xf>
    <xf numFmtId="0" fontId="3" fillId="0" borderId="28" xfId="0" applyFont="1" applyBorder="1" applyAlignment="1">
      <alignment horizontal="left" vertical="center" wrapText="1"/>
    </xf>
    <xf numFmtId="0" fontId="1" fillId="0" borderId="28" xfId="0" applyFont="1" applyBorder="1" applyAlignment="1">
      <alignment horizontal="left" vertical="center" wrapText="1"/>
    </xf>
    <xf numFmtId="0" fontId="6" fillId="0" borderId="28" xfId="0" applyFont="1" applyBorder="1" applyAlignment="1">
      <alignment horizontal="left" vertical="center" wrapText="1"/>
    </xf>
    <xf numFmtId="0" fontId="9" fillId="0" borderId="28" xfId="0" applyFont="1" applyBorder="1" applyAlignment="1">
      <alignment horizontal="left" vertical="center" wrapText="1"/>
    </xf>
    <xf numFmtId="0" fontId="1" fillId="0" borderId="28" xfId="0" applyFont="1" applyBorder="1" applyAlignment="1">
      <alignment vertical="center" wrapText="1"/>
    </xf>
    <xf numFmtId="0" fontId="9" fillId="0" borderId="28" xfId="0" applyFont="1" applyBorder="1" applyAlignment="1">
      <alignment vertical="center" wrapText="1"/>
    </xf>
    <xf numFmtId="0" fontId="1" fillId="0" borderId="28" xfId="0" applyFont="1" applyBorder="1" applyAlignment="1">
      <alignment horizontal="left" wrapText="1" indent="1"/>
    </xf>
    <xf numFmtId="0" fontId="14" fillId="0" borderId="28" xfId="0" applyFont="1" applyBorder="1" applyAlignment="1">
      <alignment horizontal="left" vertical="center" wrapText="1"/>
    </xf>
    <xf numFmtId="0" fontId="1" fillId="16" borderId="3" xfId="0" applyFont="1" applyFill="1" applyBorder="1" applyAlignment="1" applyProtection="1">
      <alignment horizontal="center" vertical="center" wrapText="1"/>
      <protection locked="0"/>
    </xf>
    <xf numFmtId="0" fontId="1" fillId="18" borderId="3" xfId="0" applyFont="1" applyFill="1" applyBorder="1" applyAlignment="1">
      <alignment horizontal="center" vertical="center"/>
    </xf>
    <xf numFmtId="0" fontId="13" fillId="0" borderId="0" xfId="0" applyFont="1" applyAlignment="1">
      <alignment vertical="center"/>
    </xf>
    <xf numFmtId="0" fontId="5" fillId="0" borderId="0" xfId="0" applyFont="1" applyAlignment="1">
      <alignment vertical="center"/>
    </xf>
    <xf numFmtId="0" fontId="9" fillId="0" borderId="0" xfId="0" applyFont="1" applyAlignment="1">
      <alignment vertical="center"/>
    </xf>
    <xf numFmtId="0" fontId="9" fillId="2" borderId="19" xfId="0" applyFont="1" applyFill="1" applyBorder="1" applyAlignment="1">
      <alignment vertical="center"/>
    </xf>
    <xf numFmtId="0" fontId="9" fillId="18" borderId="3" xfId="0" applyFont="1" applyFill="1" applyBorder="1" applyAlignment="1">
      <alignment horizontal="left" vertical="center"/>
    </xf>
    <xf numFmtId="0" fontId="9" fillId="4" borderId="3" xfId="0" applyFont="1" applyFill="1" applyBorder="1" applyAlignment="1">
      <alignment horizontal="left" vertical="center"/>
    </xf>
    <xf numFmtId="0" fontId="9" fillId="8" borderId="3" xfId="0" applyFont="1" applyFill="1" applyBorder="1" applyAlignment="1">
      <alignment horizontal="left" vertical="center"/>
    </xf>
    <xf numFmtId="0" fontId="9" fillId="11" borderId="3" xfId="0" applyFont="1" applyFill="1" applyBorder="1" applyAlignment="1">
      <alignment horizontal="left" vertical="center"/>
    </xf>
    <xf numFmtId="0" fontId="9" fillId="22" borderId="3" xfId="0" applyFont="1" applyFill="1" applyBorder="1" applyAlignment="1">
      <alignment vertical="center"/>
    </xf>
    <xf numFmtId="0" fontId="9" fillId="0" borderId="3" xfId="0" applyFont="1" applyBorder="1" applyAlignment="1">
      <alignment vertical="center"/>
    </xf>
    <xf numFmtId="0" fontId="9" fillId="0" borderId="19" xfId="0" applyFont="1" applyBorder="1" applyAlignment="1">
      <alignment vertical="center"/>
    </xf>
    <xf numFmtId="0" fontId="1" fillId="0" borderId="19" xfId="0" applyFont="1" applyBorder="1" applyAlignment="1">
      <alignment vertical="center"/>
    </xf>
    <xf numFmtId="0" fontId="9" fillId="0" borderId="30" xfId="0" applyFont="1" applyBorder="1" applyAlignment="1">
      <alignment vertical="center"/>
    </xf>
    <xf numFmtId="0" fontId="1" fillId="0" borderId="30" xfId="0" applyFont="1" applyBorder="1" applyAlignment="1">
      <alignment vertical="center"/>
    </xf>
    <xf numFmtId="166" fontId="9" fillId="3" borderId="3" xfId="0" applyNumberFormat="1" applyFont="1" applyFill="1" applyBorder="1"/>
    <xf numFmtId="166" fontId="9" fillId="4" borderId="3" xfId="0" applyNumberFormat="1" applyFont="1" applyFill="1" applyBorder="1" applyAlignment="1">
      <alignment wrapText="1"/>
    </xf>
    <xf numFmtId="0" fontId="1" fillId="4" borderId="3" xfId="0" applyFont="1" applyFill="1" applyBorder="1" applyAlignment="1">
      <alignment horizontal="center" wrapText="1"/>
    </xf>
    <xf numFmtId="0" fontId="1" fillId="3" borderId="3" xfId="0" applyFont="1" applyFill="1" applyBorder="1" applyAlignment="1">
      <alignment horizontal="center" wrapText="1"/>
    </xf>
    <xf numFmtId="0" fontId="1" fillId="3" borderId="3" xfId="0" applyFont="1" applyFill="1" applyBorder="1" applyAlignment="1">
      <alignment horizontal="left"/>
    </xf>
    <xf numFmtId="0" fontId="3" fillId="0" borderId="8" xfId="0" applyFont="1" applyBorder="1" applyAlignment="1">
      <alignment wrapText="1"/>
    </xf>
    <xf numFmtId="0" fontId="1" fillId="11" borderId="3" xfId="0" applyFont="1" applyFill="1" applyBorder="1" applyAlignment="1" applyProtection="1">
      <alignment horizontal="center"/>
      <protection locked="0"/>
    </xf>
    <xf numFmtId="166" fontId="6" fillId="0" borderId="0" xfId="0" applyNumberFormat="1" applyFont="1"/>
    <xf numFmtId="0" fontId="33" fillId="19" borderId="31" xfId="0" applyFont="1" applyFill="1" applyBorder="1" applyAlignment="1">
      <alignment horizontal="center"/>
    </xf>
    <xf numFmtId="0" fontId="33" fillId="19" borderId="48" xfId="0" applyFont="1" applyFill="1" applyBorder="1" applyAlignment="1">
      <alignment horizontal="center"/>
    </xf>
    <xf numFmtId="0" fontId="33" fillId="19" borderId="34" xfId="0" applyFont="1" applyFill="1" applyBorder="1" applyAlignment="1">
      <alignment horizontal="center"/>
    </xf>
    <xf numFmtId="0" fontId="9" fillId="0" borderId="19" xfId="0" applyFont="1" applyBorder="1" applyAlignment="1">
      <alignment horizontal="center"/>
    </xf>
    <xf numFmtId="0" fontId="9" fillId="0" borderId="65" xfId="0" applyFont="1" applyBorder="1" applyAlignment="1">
      <alignment horizontal="center"/>
    </xf>
    <xf numFmtId="0" fontId="9" fillId="11" borderId="19" xfId="0" applyFont="1" applyFill="1" applyBorder="1" applyAlignment="1">
      <alignment horizontal="center"/>
    </xf>
    <xf numFmtId="0" fontId="9" fillId="11" borderId="21" xfId="0" applyFont="1" applyFill="1" applyBorder="1" applyAlignment="1">
      <alignment horizontal="center"/>
    </xf>
    <xf numFmtId="0" fontId="9" fillId="11" borderId="14" xfId="0" applyFont="1" applyFill="1" applyBorder="1" applyAlignment="1">
      <alignment horizontal="center"/>
    </xf>
    <xf numFmtId="0" fontId="9" fillId="26" borderId="3" xfId="0" applyFont="1" applyFill="1" applyBorder="1" applyAlignment="1">
      <alignment horizontal="center" wrapText="1"/>
    </xf>
    <xf numFmtId="0" fontId="1" fillId="27" borderId="28" xfId="0" applyFont="1" applyFill="1" applyBorder="1" applyAlignment="1">
      <alignment wrapText="1"/>
    </xf>
    <xf numFmtId="0" fontId="9" fillId="27" borderId="28" xfId="0" applyFont="1" applyFill="1" applyBorder="1" applyAlignment="1">
      <alignment wrapText="1"/>
    </xf>
    <xf numFmtId="0" fontId="1" fillId="27" borderId="8" xfId="0" applyFont="1" applyFill="1" applyBorder="1" applyAlignment="1">
      <alignment wrapText="1"/>
    </xf>
    <xf numFmtId="166" fontId="1" fillId="22" borderId="3" xfId="0" applyNumberFormat="1" applyFont="1" applyFill="1" applyBorder="1" applyAlignment="1" applyProtection="1">
      <alignment horizontal="left" vertical="top" wrapText="1"/>
      <protection locked="0"/>
    </xf>
    <xf numFmtId="0" fontId="1" fillId="4" borderId="19" xfId="0" applyFont="1" applyFill="1" applyBorder="1" applyAlignment="1">
      <alignment horizontal="left"/>
    </xf>
    <xf numFmtId="0" fontId="1" fillId="4" borderId="14" xfId="0" applyFont="1" applyFill="1" applyBorder="1" applyAlignment="1">
      <alignment horizontal="left"/>
    </xf>
    <xf numFmtId="166" fontId="1" fillId="6" borderId="19" xfId="0" applyNumberFormat="1" applyFont="1" applyFill="1" applyBorder="1" applyAlignment="1">
      <alignment horizontal="left"/>
    </xf>
    <xf numFmtId="166" fontId="1" fillId="6" borderId="14" xfId="0" applyNumberFormat="1" applyFont="1" applyFill="1" applyBorder="1" applyAlignment="1">
      <alignment horizontal="left"/>
    </xf>
    <xf numFmtId="0" fontId="1" fillId="22" borderId="3" xfId="0" applyFont="1" applyFill="1" applyBorder="1" applyAlignment="1" applyProtection="1">
      <alignment horizontal="left" vertical="top" wrapText="1"/>
      <protection locked="0"/>
    </xf>
    <xf numFmtId="0" fontId="1" fillId="0" borderId="0" xfId="0" applyFont="1" applyAlignment="1">
      <alignment horizontal="left" vertical="center" wrapText="1"/>
    </xf>
    <xf numFmtId="0" fontId="1" fillId="0" borderId="41" xfId="0" applyFont="1" applyBorder="1" applyAlignment="1">
      <alignment horizontal="left" vertical="center" wrapText="1"/>
    </xf>
    <xf numFmtId="0" fontId="9" fillId="0" borderId="0" xfId="0" applyFont="1" applyAlignment="1">
      <alignment horizontal="left" vertical="center" wrapText="1"/>
    </xf>
    <xf numFmtId="0" fontId="22" fillId="0" borderId="41" xfId="0" applyFont="1" applyBorder="1" applyAlignment="1">
      <alignment horizontal="left" vertical="center" wrapText="1"/>
    </xf>
    <xf numFmtId="0" fontId="22" fillId="0" borderId="0" xfId="0" applyFont="1" applyAlignment="1">
      <alignment horizontal="left" vertical="center" wrapText="1"/>
    </xf>
    <xf numFmtId="0" fontId="1" fillId="22" borderId="3" xfId="0" applyFont="1" applyFill="1" applyBorder="1" applyAlignment="1">
      <alignment horizontal="left" vertical="top" wrapText="1"/>
    </xf>
    <xf numFmtId="0" fontId="1" fillId="0" borderId="0" xfId="0" applyFont="1" applyAlignment="1">
      <alignment wrapText="1"/>
    </xf>
    <xf numFmtId="0" fontId="1" fillId="0" borderId="0" xfId="0" applyFont="1"/>
    <xf numFmtId="0" fontId="1" fillId="0" borderId="0" xfId="0" applyFont="1" applyAlignment="1">
      <alignment vertical="center" wrapText="1"/>
    </xf>
    <xf numFmtId="0" fontId="9" fillId="21" borderId="53" xfId="0" applyFont="1" applyFill="1" applyBorder="1" applyAlignment="1">
      <alignment horizontal="center" vertical="top" wrapText="1"/>
    </xf>
    <xf numFmtId="0" fontId="9" fillId="21" borderId="54" xfId="0" applyFont="1" applyFill="1" applyBorder="1" applyAlignment="1">
      <alignment horizontal="center" vertical="top" wrapText="1"/>
    </xf>
    <xf numFmtId="0" fontId="14" fillId="0" borderId="0" xfId="0" applyFont="1" applyAlignment="1">
      <alignment horizontal="left" vertical="center" wrapText="1"/>
    </xf>
    <xf numFmtId="0" fontId="9" fillId="0" borderId="3" xfId="0" applyFont="1" applyBorder="1" applyAlignment="1">
      <alignment horizontal="center"/>
    </xf>
    <xf numFmtId="0" fontId="1" fillId="0" borderId="0" xfId="0" applyFont="1" applyAlignment="1">
      <alignment horizontal="left" wrapText="1"/>
    </xf>
    <xf numFmtId="0" fontId="1" fillId="0" borderId="0" xfId="0" applyFont="1" applyAlignment="1">
      <alignment vertical="center"/>
    </xf>
    <xf numFmtId="0" fontId="22" fillId="0" borderId="0" xfId="0" applyFont="1" applyAlignment="1">
      <alignment vertical="center" wrapText="1"/>
    </xf>
    <xf numFmtId="0" fontId="21" fillId="0" borderId="0" xfId="0" applyFont="1" applyAlignment="1">
      <alignment horizontal="left" vertical="center" wrapText="1"/>
    </xf>
    <xf numFmtId="0" fontId="9" fillId="21" borderId="53" xfId="0" applyFont="1" applyFill="1" applyBorder="1" applyAlignment="1">
      <alignment horizontal="center" vertical="center" wrapText="1"/>
    </xf>
    <xf numFmtId="0" fontId="1" fillId="21" borderId="54" xfId="0" applyFont="1" applyFill="1" applyBorder="1" applyAlignment="1">
      <alignment horizontal="center" vertical="center" wrapText="1"/>
    </xf>
    <xf numFmtId="0" fontId="1" fillId="22" borderId="3" xfId="0" applyFont="1" applyFill="1" applyBorder="1" applyAlignment="1" applyProtection="1">
      <alignment horizontal="left" vertical="top"/>
      <protection locked="0"/>
    </xf>
    <xf numFmtId="0" fontId="9" fillId="0" borderId="3" xfId="0" applyFont="1" applyBorder="1" applyAlignment="1">
      <alignment horizontal="center" vertical="center"/>
    </xf>
    <xf numFmtId="0" fontId="9" fillId="15" borderId="3" xfId="0" applyFont="1" applyFill="1" applyBorder="1" applyAlignment="1">
      <alignment horizontal="center" vertical="center" wrapText="1"/>
    </xf>
    <xf numFmtId="0" fontId="1" fillId="22" borderId="42" xfId="0" applyFont="1" applyFill="1" applyBorder="1" applyAlignment="1" applyProtection="1">
      <alignment horizontal="left" vertical="top" wrapText="1"/>
      <protection locked="0"/>
    </xf>
    <xf numFmtId="0" fontId="1" fillId="22" borderId="0" xfId="0" applyFont="1" applyFill="1" applyAlignment="1" applyProtection="1">
      <alignment horizontal="left" vertical="top" wrapText="1"/>
      <protection locked="0"/>
    </xf>
    <xf numFmtId="0" fontId="9" fillId="0" borderId="0" xfId="0" applyFont="1" applyAlignment="1">
      <alignment wrapText="1"/>
    </xf>
    <xf numFmtId="0" fontId="9" fillId="0" borderId="0" xfId="0" applyFont="1" applyAlignment="1">
      <alignment horizontal="left"/>
    </xf>
    <xf numFmtId="0" fontId="13" fillId="0" borderId="3" xfId="0" applyFont="1" applyBorder="1" applyAlignment="1">
      <alignment horizontal="left" vertical="center" wrapText="1"/>
    </xf>
    <xf numFmtId="0" fontId="14" fillId="0" borderId="3" xfId="0" applyFont="1" applyBorder="1" applyAlignment="1">
      <alignment vertical="center" wrapText="1"/>
    </xf>
    <xf numFmtId="0" fontId="1" fillId="0" borderId="3" xfId="0" applyFont="1" applyBorder="1" applyAlignment="1">
      <alignment vertical="center" wrapText="1"/>
    </xf>
    <xf numFmtId="0" fontId="9" fillId="0" borderId="0" xfId="0" applyFont="1" applyAlignment="1">
      <alignment vertical="center" wrapText="1"/>
    </xf>
    <xf numFmtId="0" fontId="16" fillId="0" borderId="0" xfId="0" applyFont="1" applyAlignment="1">
      <alignment horizontal="left" vertical="center" wrapText="1"/>
    </xf>
    <xf numFmtId="0" fontId="14" fillId="0" borderId="44" xfId="0" applyFont="1" applyBorder="1" applyAlignment="1">
      <alignment horizontal="left" vertical="center" wrapText="1"/>
    </xf>
    <xf numFmtId="0" fontId="14" fillId="0" borderId="45" xfId="0" applyFont="1" applyBorder="1" applyAlignment="1">
      <alignment horizontal="left" vertical="center" wrapText="1"/>
    </xf>
    <xf numFmtId="0" fontId="14" fillId="0" borderId="43" xfId="0" applyFont="1" applyBorder="1" applyAlignment="1">
      <alignment horizontal="left" vertical="center" wrapText="1"/>
    </xf>
    <xf numFmtId="0" fontId="1" fillId="0" borderId="0" xfId="0" applyFont="1" applyAlignment="1">
      <alignment horizontal="center"/>
    </xf>
    <xf numFmtId="0" fontId="30" fillId="0" borderId="44" xfId="0" applyFont="1" applyBorder="1" applyAlignment="1">
      <alignment vertical="center" wrapText="1"/>
    </xf>
    <xf numFmtId="0" fontId="1" fillId="0" borderId="45" xfId="0" applyFont="1" applyBorder="1" applyAlignment="1">
      <alignment vertical="center" wrapText="1"/>
    </xf>
    <xf numFmtId="0" fontId="1" fillId="0" borderId="43" xfId="0" applyFont="1" applyBorder="1" applyAlignment="1">
      <alignment vertical="center" wrapText="1"/>
    </xf>
    <xf numFmtId="0" fontId="1" fillId="8" borderId="3" xfId="0" applyFont="1" applyFill="1" applyBorder="1" applyAlignment="1">
      <alignment horizontal="left"/>
    </xf>
    <xf numFmtId="0" fontId="1" fillId="8" borderId="3" xfId="0" applyFont="1" applyFill="1" applyBorder="1"/>
    <xf numFmtId="0" fontId="1" fillId="0" borderId="3" xfId="0" applyFont="1" applyBorder="1"/>
    <xf numFmtId="0" fontId="1" fillId="11" borderId="3" xfId="0" applyFont="1" applyFill="1" applyBorder="1" applyAlignment="1">
      <alignment horizontal="left"/>
    </xf>
    <xf numFmtId="0" fontId="1" fillId="11" borderId="3" xfId="0" applyFont="1" applyFill="1" applyBorder="1"/>
    <xf numFmtId="0" fontId="1" fillId="18" borderId="3" xfId="0" applyFont="1" applyFill="1" applyBorder="1" applyAlignment="1">
      <alignment horizontal="left"/>
    </xf>
    <xf numFmtId="0" fontId="1" fillId="18" borderId="3" xfId="0" applyFont="1" applyFill="1" applyBorder="1"/>
    <xf numFmtId="0" fontId="1" fillId="4" borderId="3" xfId="0" applyFont="1" applyFill="1" applyBorder="1" applyAlignment="1">
      <alignment horizontal="left"/>
    </xf>
    <xf numFmtId="0" fontId="1" fillId="22" borderId="3" xfId="0" applyFont="1" applyFill="1" applyBorder="1" applyAlignment="1">
      <alignment horizontal="left"/>
    </xf>
    <xf numFmtId="166" fontId="1" fillId="22" borderId="62" xfId="0" applyNumberFormat="1" applyFont="1" applyFill="1" applyBorder="1" applyAlignment="1" applyProtection="1">
      <alignment horizontal="left" vertical="top" wrapText="1"/>
      <protection locked="0"/>
    </xf>
    <xf numFmtId="0" fontId="1" fillId="22" borderId="63" xfId="0" applyFont="1" applyFill="1" applyBorder="1" applyAlignment="1" applyProtection="1">
      <alignment horizontal="left" vertical="top" wrapText="1"/>
      <protection locked="0"/>
    </xf>
    <xf numFmtId="0" fontId="1" fillId="22" borderId="40" xfId="0" applyFont="1" applyFill="1" applyBorder="1" applyAlignment="1" applyProtection="1">
      <alignment horizontal="left" vertical="top" wrapText="1"/>
      <protection locked="0"/>
    </xf>
    <xf numFmtId="0" fontId="1" fillId="22" borderId="64" xfId="0" applyFont="1" applyFill="1" applyBorder="1" applyAlignment="1" applyProtection="1">
      <alignment horizontal="left" vertical="top" wrapText="1"/>
      <protection locked="0"/>
    </xf>
    <xf numFmtId="0" fontId="1" fillId="22" borderId="23" xfId="0" applyFont="1" applyFill="1" applyBorder="1" applyAlignment="1" applyProtection="1">
      <alignment horizontal="left" vertical="top" wrapText="1"/>
      <protection locked="0"/>
    </xf>
    <xf numFmtId="0" fontId="1" fillId="22" borderId="41" xfId="0" applyFont="1" applyFill="1" applyBorder="1" applyAlignment="1" applyProtection="1">
      <alignment horizontal="left" vertical="top" wrapText="1"/>
      <protection locked="0"/>
    </xf>
    <xf numFmtId="0" fontId="1" fillId="22" borderId="13" xfId="0" applyFont="1" applyFill="1" applyBorder="1" applyAlignment="1" applyProtection="1">
      <alignment horizontal="left" vertical="top" wrapText="1"/>
      <protection locked="0"/>
    </xf>
    <xf numFmtId="0" fontId="1" fillId="22" borderId="39" xfId="0" applyFont="1" applyFill="1" applyBorder="1" applyAlignment="1" applyProtection="1">
      <alignment horizontal="left" vertical="top" wrapText="1"/>
      <protection locked="0"/>
    </xf>
    <xf numFmtId="0" fontId="1" fillId="22" borderId="35" xfId="0" applyFont="1" applyFill="1" applyBorder="1" applyAlignment="1" applyProtection="1">
      <alignment horizontal="left" vertical="top" wrapText="1"/>
      <protection locked="0"/>
    </xf>
    <xf numFmtId="0" fontId="1" fillId="22" borderId="18" xfId="0" applyFont="1" applyFill="1" applyBorder="1" applyAlignment="1" applyProtection="1">
      <alignment horizontal="left" vertical="top" wrapText="1"/>
      <protection locked="0"/>
    </xf>
    <xf numFmtId="0" fontId="1" fillId="22" borderId="38" xfId="0" applyFont="1" applyFill="1" applyBorder="1" applyAlignment="1" applyProtection="1">
      <alignment horizontal="left" vertical="top" wrapText="1"/>
      <protection locked="0"/>
    </xf>
    <xf numFmtId="0" fontId="1" fillId="22" borderId="36" xfId="0" applyFont="1" applyFill="1" applyBorder="1" applyAlignment="1" applyProtection="1">
      <alignment horizontal="left" vertical="top" wrapText="1"/>
      <protection locked="0"/>
    </xf>
    <xf numFmtId="0" fontId="1" fillId="22" borderId="24" xfId="0" applyFont="1" applyFill="1" applyBorder="1" applyAlignment="1" applyProtection="1">
      <alignment horizontal="left" vertical="top" wrapText="1"/>
      <protection locked="0"/>
    </xf>
    <xf numFmtId="0" fontId="1" fillId="22" borderId="25" xfId="0" applyFont="1" applyFill="1" applyBorder="1" applyAlignment="1" applyProtection="1">
      <alignment horizontal="left" vertical="top" wrapText="1"/>
      <protection locked="0"/>
    </xf>
    <xf numFmtId="0" fontId="1" fillId="22" borderId="37" xfId="0" applyFont="1" applyFill="1" applyBorder="1" applyAlignment="1" applyProtection="1">
      <alignment horizontal="left" vertical="top" wrapText="1"/>
      <protection locked="0"/>
    </xf>
    <xf numFmtId="0" fontId="6" fillId="0" borderId="0" xfId="0" applyFont="1" applyAlignment="1">
      <alignment wrapText="1"/>
    </xf>
    <xf numFmtId="0" fontId="1" fillId="3" borderId="19" xfId="0" applyFont="1" applyFill="1" applyBorder="1" applyAlignment="1">
      <alignment horizontal="left"/>
    </xf>
    <xf numFmtId="0" fontId="1" fillId="0" borderId="21" xfId="0" applyFont="1" applyBorder="1"/>
    <xf numFmtId="0" fontId="1" fillId="0" borderId="14" xfId="0" applyFont="1" applyBorder="1"/>
    <xf numFmtId="166" fontId="1" fillId="4" borderId="19" xfId="0" applyNumberFormat="1" applyFont="1" applyFill="1" applyBorder="1" applyAlignment="1">
      <alignment horizontal="left"/>
    </xf>
    <xf numFmtId="166" fontId="1" fillId="11" borderId="19" xfId="0" applyNumberFormat="1" applyFont="1" applyFill="1" applyBorder="1" applyAlignment="1">
      <alignment horizontal="left"/>
    </xf>
    <xf numFmtId="0" fontId="1" fillId="11" borderId="21" xfId="0" applyFont="1" applyFill="1" applyBorder="1"/>
    <xf numFmtId="0" fontId="1" fillId="11" borderId="14" xfId="0" applyFont="1" applyFill="1" applyBorder="1"/>
    <xf numFmtId="166" fontId="9" fillId="0" borderId="3" xfId="0" applyNumberFormat="1" applyFont="1" applyBorder="1" applyAlignment="1">
      <alignment vertical="center"/>
    </xf>
    <xf numFmtId="0" fontId="9" fillId="3" borderId="3" xfId="0" applyFont="1" applyFill="1" applyBorder="1" applyAlignment="1">
      <alignment horizontal="center" wrapText="1"/>
    </xf>
    <xf numFmtId="0" fontId="1" fillId="3" borderId="3" xfId="0" applyFont="1" applyFill="1" applyBorder="1" applyAlignment="1">
      <alignment horizontal="center" wrapText="1"/>
    </xf>
    <xf numFmtId="0" fontId="9" fillId="3" borderId="3" xfId="0" applyFont="1" applyFill="1" applyBorder="1" applyAlignment="1">
      <alignment horizontal="center"/>
    </xf>
    <xf numFmtId="0" fontId="1" fillId="0" borderId="3" xfId="0" applyFont="1" applyBorder="1" applyAlignment="1">
      <alignment horizontal="center"/>
    </xf>
    <xf numFmtId="0" fontId="1" fillId="0" borderId="3" xfId="0" applyFont="1" applyBorder="1" applyAlignment="1">
      <alignment horizontal="left" vertical="top" wrapText="1"/>
    </xf>
    <xf numFmtId="0" fontId="9" fillId="11" borderId="3" xfId="0" applyFont="1" applyFill="1" applyBorder="1" applyAlignment="1">
      <alignment horizontal="center" vertical="center"/>
    </xf>
    <xf numFmtId="0" fontId="9" fillId="11" borderId="3" xfId="0" applyFont="1" applyFill="1" applyBorder="1" applyAlignment="1">
      <alignment horizontal="center" vertical="center" wrapText="1"/>
    </xf>
    <xf numFmtId="0" fontId="7" fillId="0" borderId="0" xfId="0" applyFont="1" applyAlignment="1">
      <alignment vertical="center" wrapText="1"/>
    </xf>
    <xf numFmtId="0" fontId="9" fillId="11" borderId="8" xfId="0" applyFont="1" applyFill="1" applyBorder="1" applyAlignment="1">
      <alignment horizontal="center"/>
    </xf>
    <xf numFmtId="0" fontId="41" fillId="0" borderId="0" xfId="0" applyFont="1" applyAlignment="1">
      <alignment horizontal="left" vertical="top" wrapText="1"/>
    </xf>
    <xf numFmtId="0" fontId="34" fillId="17" borderId="30" xfId="0" applyFont="1" applyFill="1" applyBorder="1" applyAlignment="1">
      <alignment horizontal="center" vertical="center" wrapText="1"/>
    </xf>
    <xf numFmtId="0" fontId="34" fillId="17" borderId="8" xfId="0" applyFont="1" applyFill="1" applyBorder="1" applyAlignment="1">
      <alignment horizontal="center" vertical="center" wrapText="1"/>
    </xf>
    <xf numFmtId="0" fontId="34" fillId="17" borderId="30" xfId="0" applyFont="1" applyFill="1" applyBorder="1" applyAlignment="1">
      <alignment horizontal="center" vertical="center"/>
    </xf>
    <xf numFmtId="0" fontId="1" fillId="0" borderId="8" xfId="0" applyFont="1" applyBorder="1" applyAlignment="1">
      <alignment horizontal="center" vertical="center"/>
    </xf>
    <xf numFmtId="0" fontId="34" fillId="17" borderId="30" xfId="0" applyFont="1" applyFill="1" applyBorder="1" applyAlignment="1">
      <alignment horizontal="center" wrapText="1"/>
    </xf>
    <xf numFmtId="0" fontId="1" fillId="0" borderId="8" xfId="0" applyFont="1" applyBorder="1" applyAlignment="1">
      <alignment wrapText="1"/>
    </xf>
    <xf numFmtId="0" fontId="1" fillId="0" borderId="8" xfId="0" applyFont="1" applyBorder="1" applyAlignment="1">
      <alignment horizontal="center" wrapText="1"/>
    </xf>
    <xf numFmtId="0" fontId="34" fillId="17" borderId="3" xfId="0" applyFont="1" applyFill="1" applyBorder="1" applyAlignment="1">
      <alignment horizontal="center" vertical="center" wrapText="1"/>
    </xf>
    <xf numFmtId="0" fontId="1" fillId="0" borderId="19" xfId="0" applyFont="1" applyBorder="1" applyAlignment="1">
      <alignment horizontal="left" vertical="top" wrapText="1"/>
    </xf>
    <xf numFmtId="0" fontId="1" fillId="0" borderId="21" xfId="0" applyFont="1" applyBorder="1" applyAlignment="1">
      <alignment horizontal="left" vertical="top" wrapText="1"/>
    </xf>
    <xf numFmtId="0" fontId="1" fillId="0" borderId="14" xfId="0" applyFont="1" applyBorder="1" applyAlignment="1">
      <alignment horizontal="left" vertical="top" wrapText="1"/>
    </xf>
    <xf numFmtId="0" fontId="42" fillId="0" borderId="0" xfId="0" applyFont="1"/>
    <xf numFmtId="0" fontId="43" fillId="0" borderId="0" xfId="0" applyFont="1" applyAlignment="1">
      <alignment wrapText="1"/>
    </xf>
    <xf numFmtId="0" fontId="42" fillId="0" borderId="0" xfId="0" applyFont="1" applyAlignment="1">
      <alignment vertical="top"/>
    </xf>
    <xf numFmtId="0" fontId="9" fillId="11" borderId="3" xfId="0" applyFont="1" applyFill="1" applyBorder="1" applyAlignment="1">
      <alignment horizontal="center" vertical="top" wrapText="1"/>
    </xf>
    <xf numFmtId="2" fontId="1" fillId="0" borderId="3" xfId="0" applyNumberFormat="1" applyFont="1" applyBorder="1" applyAlignment="1">
      <alignment horizontal="center" vertical="center" wrapText="1"/>
    </xf>
  </cellXfs>
  <cellStyles count="3">
    <cellStyle name="Comma" xfId="2" builtinId="3"/>
    <cellStyle name="Normal" xfId="0" builtinId="0"/>
    <cellStyle name="Percent" xfId="1" builtinId="5"/>
  </cellStyles>
  <dxfs count="4">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FFCC"/>
      <color rgb="FF99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5256443</xdr:colOff>
      <xdr:row>3</xdr:row>
      <xdr:rowOff>104664</xdr:rowOff>
    </xdr:from>
    <xdr:to>
      <xdr:col>1</xdr:col>
      <xdr:colOff>6049174</xdr:colOff>
      <xdr:row>3</xdr:row>
      <xdr:rowOff>1297782</xdr:rowOff>
    </xdr:to>
    <xdr:pic>
      <xdr:nvPicPr>
        <xdr:cNvPr id="3" name="Picture 2" descr="reserve logo.bmp">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5566006" y="485664"/>
          <a:ext cx="786381" cy="1193118"/>
        </a:xfrm>
        <a:prstGeom prst="rect">
          <a:avLst/>
        </a:prstGeom>
        <a:ln w="114300">
          <a:noFill/>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440543</xdr:colOff>
      <xdr:row>511</xdr:row>
      <xdr:rowOff>35726</xdr:rowOff>
    </xdr:from>
    <xdr:to>
      <xdr:col>6</xdr:col>
      <xdr:colOff>1644808</xdr:colOff>
      <xdr:row>537</xdr:row>
      <xdr:rowOff>130969</xdr:rowOff>
    </xdr:to>
    <xdr:pic>
      <xdr:nvPicPr>
        <xdr:cNvPr id="2" name="Picture 1">
          <a:extLst>
            <a:ext uri="{FF2B5EF4-FFF2-40B4-BE49-F238E27FC236}">
              <a16:creationId xmlns:a16="http://schemas.microsoft.com/office/drawing/2014/main" id="{00000000-0008-0000-0D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931" t="3150" r="1598"/>
        <a:stretch/>
      </xdr:blipFill>
      <xdr:spPr bwMode="auto">
        <a:xfrm>
          <a:off x="4893481" y="97702695"/>
          <a:ext cx="6490640" cy="44291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2790CE"/>
    <pageSetUpPr fitToPage="1"/>
  </sheetPr>
  <dimension ref="A1:AE283"/>
  <sheetViews>
    <sheetView showGridLines="0" topLeftCell="A10" zoomScale="80" zoomScaleNormal="80" zoomScaleSheetLayoutView="75" workbookViewId="0">
      <selection activeCell="B56" sqref="B56"/>
    </sheetView>
  </sheetViews>
  <sheetFormatPr defaultColWidth="9.1796875" defaultRowHeight="12.5" x14ac:dyDescent="0.25"/>
  <cols>
    <col min="1" max="1" width="4.7265625" style="61" customWidth="1"/>
    <col min="2" max="2" width="169.453125" style="36" customWidth="1"/>
    <col min="3" max="3" width="11.26953125" style="61" customWidth="1"/>
    <col min="4" max="4" width="31.453125" style="61" customWidth="1"/>
    <col min="5" max="5" width="4.7265625" style="61" customWidth="1"/>
    <col min="6" max="8" width="9.1796875" style="61" hidden="1" customWidth="1"/>
    <col min="9" max="31" width="9.1796875" style="61"/>
    <col min="32" max="16384" width="9.1796875" style="36"/>
  </cols>
  <sheetData>
    <row r="1" spans="2:5" s="61" customFormat="1" ht="13" x14ac:dyDescent="0.3">
      <c r="B1" s="5"/>
    </row>
    <row r="2" spans="2:5" s="61" customFormat="1" ht="15.5" x14ac:dyDescent="0.35">
      <c r="B2" s="6"/>
    </row>
    <row r="3" spans="2:5" s="61" customFormat="1" ht="15.5" x14ac:dyDescent="0.35">
      <c r="B3" s="6" t="s">
        <v>864</v>
      </c>
    </row>
    <row r="4" spans="2:5" ht="107.25" customHeight="1" x14ac:dyDescent="0.3">
      <c r="B4" s="501"/>
      <c r="D4" s="62"/>
    </row>
    <row r="5" spans="2:5" ht="13" x14ac:dyDescent="0.3">
      <c r="B5" s="502" t="s">
        <v>0</v>
      </c>
      <c r="D5" s="62"/>
    </row>
    <row r="6" spans="2:5" ht="13" x14ac:dyDescent="0.3">
      <c r="B6" s="503" t="s">
        <v>1</v>
      </c>
    </row>
    <row r="7" spans="2:5" ht="13" x14ac:dyDescent="0.3">
      <c r="B7" s="503"/>
    </row>
    <row r="8" spans="2:5" ht="17.25" customHeight="1" x14ac:dyDescent="0.3">
      <c r="B8" s="503" t="s">
        <v>2</v>
      </c>
    </row>
    <row r="9" spans="2:5" ht="117.75" customHeight="1" x14ac:dyDescent="0.25">
      <c r="B9" s="504" t="s">
        <v>3</v>
      </c>
    </row>
    <row r="10" spans="2:5" ht="30.75" customHeight="1" x14ac:dyDescent="0.3">
      <c r="B10" s="505" t="s">
        <v>4</v>
      </c>
      <c r="D10" s="63"/>
      <c r="E10" s="64"/>
    </row>
    <row r="11" spans="2:5" ht="55.5" customHeight="1" x14ac:dyDescent="0.25">
      <c r="B11" s="506" t="s">
        <v>5</v>
      </c>
      <c r="D11" s="63"/>
    </row>
    <row r="12" spans="2:5" ht="28.5" customHeight="1" x14ac:dyDescent="0.25">
      <c r="B12" s="505" t="s">
        <v>6</v>
      </c>
      <c r="D12" s="63"/>
    </row>
    <row r="13" spans="2:5" x14ac:dyDescent="0.25">
      <c r="B13" s="506" t="s">
        <v>7</v>
      </c>
      <c r="D13" s="63"/>
    </row>
    <row r="14" spans="2:5" x14ac:dyDescent="0.25">
      <c r="B14" s="506" t="s">
        <v>8</v>
      </c>
      <c r="D14" s="63"/>
    </row>
    <row r="15" spans="2:5" x14ac:dyDescent="0.25">
      <c r="B15" s="506" t="s">
        <v>9</v>
      </c>
      <c r="D15" s="63"/>
    </row>
    <row r="16" spans="2:5" x14ac:dyDescent="0.25">
      <c r="B16" s="506" t="s">
        <v>10</v>
      </c>
      <c r="D16" s="63"/>
    </row>
    <row r="17" spans="2:4" ht="26" x14ac:dyDescent="0.25">
      <c r="B17" s="506" t="s">
        <v>11</v>
      </c>
      <c r="D17" s="63"/>
    </row>
    <row r="18" spans="2:4" x14ac:dyDescent="0.25">
      <c r="B18" s="506" t="s">
        <v>12</v>
      </c>
      <c r="D18" s="63"/>
    </row>
    <row r="19" spans="2:4" x14ac:dyDescent="0.25">
      <c r="B19" s="506" t="s">
        <v>13</v>
      </c>
      <c r="D19" s="63"/>
    </row>
    <row r="20" spans="2:4" x14ac:dyDescent="0.25">
      <c r="B20" s="506" t="s">
        <v>14</v>
      </c>
      <c r="D20" s="63"/>
    </row>
    <row r="21" spans="2:4" x14ac:dyDescent="0.25">
      <c r="B21" s="506" t="s">
        <v>15</v>
      </c>
      <c r="D21" s="63"/>
    </row>
    <row r="22" spans="2:4" x14ac:dyDescent="0.25">
      <c r="B22" s="506" t="s">
        <v>16</v>
      </c>
      <c r="D22" s="63"/>
    </row>
    <row r="23" spans="2:4" x14ac:dyDescent="0.25">
      <c r="B23" s="506" t="s">
        <v>17</v>
      </c>
      <c r="D23" s="63"/>
    </row>
    <row r="24" spans="2:4" x14ac:dyDescent="0.25">
      <c r="B24" s="506" t="s">
        <v>18</v>
      </c>
      <c r="D24" s="63"/>
    </row>
    <row r="25" spans="2:4" x14ac:dyDescent="0.25">
      <c r="B25" s="506" t="s">
        <v>19</v>
      </c>
      <c r="D25" s="63"/>
    </row>
    <row r="26" spans="2:4" x14ac:dyDescent="0.25">
      <c r="B26" s="506" t="s">
        <v>20</v>
      </c>
      <c r="D26" s="63"/>
    </row>
    <row r="27" spans="2:4" ht="13" x14ac:dyDescent="0.25">
      <c r="B27" s="507"/>
      <c r="D27" s="63"/>
    </row>
    <row r="28" spans="2:4" ht="13" x14ac:dyDescent="0.25">
      <c r="B28" s="508" t="s">
        <v>21</v>
      </c>
      <c r="D28" s="63"/>
    </row>
    <row r="29" spans="2:4" x14ac:dyDescent="0.25">
      <c r="B29" s="506" t="s">
        <v>22</v>
      </c>
      <c r="D29" s="63"/>
    </row>
    <row r="30" spans="2:4" x14ac:dyDescent="0.25">
      <c r="B30" s="509"/>
      <c r="D30" s="63"/>
    </row>
    <row r="31" spans="2:4" ht="13" x14ac:dyDescent="0.25">
      <c r="B31" s="510" t="s">
        <v>23</v>
      </c>
      <c r="D31" s="63"/>
    </row>
    <row r="32" spans="2:4" x14ac:dyDescent="0.25">
      <c r="B32" s="511" t="s">
        <v>24</v>
      </c>
      <c r="D32" s="63"/>
    </row>
    <row r="33" spans="2:2" x14ac:dyDescent="0.25">
      <c r="B33" s="511" t="s">
        <v>25</v>
      </c>
    </row>
    <row r="34" spans="2:2" x14ac:dyDescent="0.25">
      <c r="B34" s="511" t="s">
        <v>26</v>
      </c>
    </row>
    <row r="35" spans="2:2" ht="13" x14ac:dyDescent="0.3">
      <c r="B35" s="496"/>
    </row>
    <row r="36" spans="2:2" ht="13" x14ac:dyDescent="0.3">
      <c r="B36" s="496" t="s">
        <v>27</v>
      </c>
    </row>
    <row r="37" spans="2:2" x14ac:dyDescent="0.25">
      <c r="B37" s="498"/>
    </row>
    <row r="38" spans="2:2" x14ac:dyDescent="0.25">
      <c r="B38" s="498" t="s">
        <v>28</v>
      </c>
    </row>
    <row r="39" spans="2:2" x14ac:dyDescent="0.25">
      <c r="B39" s="498"/>
    </row>
    <row r="40" spans="2:2" ht="13" x14ac:dyDescent="0.3">
      <c r="B40" s="496" t="s">
        <v>29</v>
      </c>
    </row>
    <row r="41" spans="2:2" x14ac:dyDescent="0.25">
      <c r="B41" s="347" t="s">
        <v>30</v>
      </c>
    </row>
    <row r="42" spans="2:2" x14ac:dyDescent="0.25">
      <c r="B42" s="348" t="s">
        <v>31</v>
      </c>
    </row>
    <row r="43" spans="2:2" ht="13" x14ac:dyDescent="0.3">
      <c r="B43" s="349" t="s">
        <v>32</v>
      </c>
    </row>
    <row r="44" spans="2:2" x14ac:dyDescent="0.25">
      <c r="B44" s="350" t="s">
        <v>33</v>
      </c>
    </row>
    <row r="45" spans="2:2" x14ac:dyDescent="0.25">
      <c r="B45" s="351" t="s">
        <v>34</v>
      </c>
    </row>
    <row r="46" spans="2:2" x14ac:dyDescent="0.25">
      <c r="B46" s="352" t="s">
        <v>35</v>
      </c>
    </row>
    <row r="47" spans="2:2" x14ac:dyDescent="0.25">
      <c r="B47" s="353" t="s">
        <v>36</v>
      </c>
    </row>
    <row r="48" spans="2:2" x14ac:dyDescent="0.25">
      <c r="B48" s="354" t="s">
        <v>37</v>
      </c>
    </row>
    <row r="49" spans="2:2" x14ac:dyDescent="0.25">
      <c r="B49" s="355" t="s">
        <v>38</v>
      </c>
    </row>
    <row r="50" spans="2:2" x14ac:dyDescent="0.25">
      <c r="B50" s="498"/>
    </row>
    <row r="51" spans="2:2" ht="39" x14ac:dyDescent="0.25">
      <c r="B51" s="512" t="s">
        <v>39</v>
      </c>
    </row>
    <row r="52" spans="2:2" x14ac:dyDescent="0.25">
      <c r="B52" s="499"/>
    </row>
    <row r="53" spans="2:2" x14ac:dyDescent="0.25">
      <c r="B53" s="65"/>
    </row>
    <row r="54" spans="2:2" ht="15.5" x14ac:dyDescent="0.35">
      <c r="B54" s="497" t="s">
        <v>858</v>
      </c>
    </row>
    <row r="55" spans="2:2" ht="13" x14ac:dyDescent="0.3">
      <c r="B55" s="496"/>
    </row>
    <row r="56" spans="2:2" ht="13" x14ac:dyDescent="0.3">
      <c r="B56" s="496" t="s">
        <v>41</v>
      </c>
    </row>
    <row r="57" spans="2:2" x14ac:dyDescent="0.25">
      <c r="B57" s="498" t="s">
        <v>869</v>
      </c>
    </row>
    <row r="58" spans="2:2" x14ac:dyDescent="0.25">
      <c r="B58" s="498"/>
    </row>
    <row r="59" spans="2:2" ht="13" x14ac:dyDescent="0.3">
      <c r="B59" s="496" t="s">
        <v>870</v>
      </c>
    </row>
    <row r="60" spans="2:2" x14ac:dyDescent="0.25">
      <c r="B60" s="498" t="s">
        <v>863</v>
      </c>
    </row>
    <row r="61" spans="2:2" x14ac:dyDescent="0.25">
      <c r="B61" s="499"/>
    </row>
    <row r="62" spans="2:2" ht="15.5" x14ac:dyDescent="0.35">
      <c r="B62" s="497" t="s">
        <v>859</v>
      </c>
    </row>
    <row r="63" spans="2:2" x14ac:dyDescent="0.25">
      <c r="B63" s="546"/>
    </row>
    <row r="64" spans="2:2" ht="13" x14ac:dyDescent="0.3">
      <c r="B64" s="547" t="s">
        <v>41</v>
      </c>
    </row>
    <row r="65" spans="2:2" x14ac:dyDescent="0.25">
      <c r="B65" s="546" t="s">
        <v>860</v>
      </c>
    </row>
    <row r="66" spans="2:2" x14ac:dyDescent="0.25">
      <c r="B66" s="546" t="s">
        <v>861</v>
      </c>
    </row>
    <row r="67" spans="2:2" x14ac:dyDescent="0.25">
      <c r="B67" s="546" t="s">
        <v>862</v>
      </c>
    </row>
    <row r="68" spans="2:2" x14ac:dyDescent="0.25">
      <c r="B68" s="548"/>
    </row>
    <row r="69" spans="2:2" ht="15.5" x14ac:dyDescent="0.35">
      <c r="B69" s="497" t="s">
        <v>40</v>
      </c>
    </row>
    <row r="70" spans="2:2" ht="13" x14ac:dyDescent="0.3">
      <c r="B70" s="496"/>
    </row>
    <row r="71" spans="2:2" ht="13" x14ac:dyDescent="0.3">
      <c r="B71" s="496" t="s">
        <v>41</v>
      </c>
    </row>
    <row r="72" spans="2:2" x14ac:dyDescent="0.25">
      <c r="B72" s="498" t="s">
        <v>42</v>
      </c>
    </row>
    <row r="73" spans="2:2" x14ac:dyDescent="0.25">
      <c r="B73" s="499"/>
    </row>
    <row r="74" spans="2:2" ht="15.5" x14ac:dyDescent="0.35">
      <c r="B74" s="497" t="s">
        <v>43</v>
      </c>
    </row>
    <row r="75" spans="2:2" ht="15.5" x14ac:dyDescent="0.35">
      <c r="B75" s="500"/>
    </row>
    <row r="76" spans="2:2" ht="13" x14ac:dyDescent="0.3">
      <c r="B76" s="496" t="s">
        <v>44</v>
      </c>
    </row>
    <row r="77" spans="2:2" ht="25" x14ac:dyDescent="0.25">
      <c r="B77" s="498" t="s">
        <v>45</v>
      </c>
    </row>
    <row r="78" spans="2:2" ht="15.5" x14ac:dyDescent="0.35">
      <c r="B78" s="534"/>
    </row>
    <row r="79" spans="2:2" ht="15.5" x14ac:dyDescent="0.35">
      <c r="B79" s="497" t="s">
        <v>46</v>
      </c>
    </row>
    <row r="80" spans="2:2" ht="13" x14ac:dyDescent="0.3">
      <c r="B80" s="496"/>
    </row>
    <row r="81" spans="2:2" ht="13" x14ac:dyDescent="0.3">
      <c r="B81" s="496" t="s">
        <v>47</v>
      </c>
    </row>
    <row r="82" spans="2:2" ht="25" x14ac:dyDescent="0.25">
      <c r="B82" s="498" t="s">
        <v>48</v>
      </c>
    </row>
    <row r="83" spans="2:2" x14ac:dyDescent="0.25">
      <c r="B83" s="499"/>
    </row>
    <row r="84" spans="2:2" ht="15.5" x14ac:dyDescent="0.35">
      <c r="B84" s="497" t="s">
        <v>49</v>
      </c>
    </row>
    <row r="85" spans="2:2" ht="13" x14ac:dyDescent="0.3">
      <c r="B85" s="496"/>
    </row>
    <row r="86" spans="2:2" ht="13" x14ac:dyDescent="0.3">
      <c r="B86" s="496" t="s">
        <v>41</v>
      </c>
    </row>
    <row r="87" spans="2:2" x14ac:dyDescent="0.25">
      <c r="B87" s="498" t="s">
        <v>50</v>
      </c>
    </row>
    <row r="88" spans="2:2" x14ac:dyDescent="0.25">
      <c r="B88" s="499"/>
    </row>
    <row r="89" spans="2:2" ht="15.5" x14ac:dyDescent="0.35">
      <c r="B89" s="500" t="s">
        <v>51</v>
      </c>
    </row>
    <row r="90" spans="2:2" x14ac:dyDescent="0.25">
      <c r="B90" s="498" t="s">
        <v>52</v>
      </c>
    </row>
    <row r="91" spans="2:2" x14ac:dyDescent="0.25">
      <c r="B91" s="498"/>
    </row>
    <row r="92" spans="2:2" ht="15.5" x14ac:dyDescent="0.35">
      <c r="B92" s="497" t="s">
        <v>53</v>
      </c>
    </row>
    <row r="93" spans="2:2" ht="15" x14ac:dyDescent="0.4">
      <c r="B93" s="496" t="s">
        <v>54</v>
      </c>
    </row>
    <row r="94" spans="2:2" ht="15.5" x14ac:dyDescent="0.4">
      <c r="B94" s="498" t="s">
        <v>55</v>
      </c>
    </row>
    <row r="95" spans="2:2" x14ac:dyDescent="0.25">
      <c r="B95" s="498"/>
    </row>
    <row r="96" spans="2:2" ht="15.5" x14ac:dyDescent="0.35">
      <c r="B96" s="497" t="s">
        <v>56</v>
      </c>
    </row>
    <row r="97" spans="2:2" x14ac:dyDescent="0.25">
      <c r="B97" s="498"/>
    </row>
    <row r="98" spans="2:2" ht="13" x14ac:dyDescent="0.3">
      <c r="B98" s="496" t="s">
        <v>57</v>
      </c>
    </row>
    <row r="99" spans="2:2" x14ac:dyDescent="0.25">
      <c r="B99" s="498" t="s">
        <v>58</v>
      </c>
    </row>
    <row r="100" spans="2:2" x14ac:dyDescent="0.25">
      <c r="B100" s="498"/>
    </row>
    <row r="101" spans="2:2" ht="13" x14ac:dyDescent="0.3">
      <c r="B101" s="496" t="s">
        <v>59</v>
      </c>
    </row>
    <row r="102" spans="2:2" x14ac:dyDescent="0.25">
      <c r="B102" s="498" t="s">
        <v>60</v>
      </c>
    </row>
    <row r="103" spans="2:2" x14ac:dyDescent="0.25">
      <c r="B103" s="498" t="s">
        <v>61</v>
      </c>
    </row>
    <row r="104" spans="2:2" x14ac:dyDescent="0.25">
      <c r="B104" s="498" t="s">
        <v>62</v>
      </c>
    </row>
    <row r="105" spans="2:2" ht="15.5" x14ac:dyDescent="0.4">
      <c r="B105" s="498" t="s">
        <v>63</v>
      </c>
    </row>
    <row r="106" spans="2:2" x14ac:dyDescent="0.25">
      <c r="B106" s="498" t="s">
        <v>64</v>
      </c>
    </row>
    <row r="107" spans="2:2" x14ac:dyDescent="0.25">
      <c r="B107" s="498"/>
    </row>
    <row r="108" spans="2:2" ht="13" x14ac:dyDescent="0.3">
      <c r="B108" s="496" t="s">
        <v>65</v>
      </c>
    </row>
    <row r="109" spans="2:2" x14ac:dyDescent="0.25">
      <c r="B109" s="498" t="s">
        <v>66</v>
      </c>
    </row>
    <row r="110" spans="2:2" x14ac:dyDescent="0.25">
      <c r="B110" s="498"/>
    </row>
    <row r="111" spans="2:2" ht="13" x14ac:dyDescent="0.3">
      <c r="B111" s="496" t="s">
        <v>41</v>
      </c>
    </row>
    <row r="112" spans="2:2" x14ac:dyDescent="0.25">
      <c r="B112" s="498" t="s">
        <v>67</v>
      </c>
    </row>
    <row r="113" spans="2:2" x14ac:dyDescent="0.25">
      <c r="B113" s="498" t="s">
        <v>68</v>
      </c>
    </row>
    <row r="114" spans="2:2" x14ac:dyDescent="0.25">
      <c r="B114" s="498" t="s">
        <v>69</v>
      </c>
    </row>
    <row r="115" spans="2:2" x14ac:dyDescent="0.25">
      <c r="B115" s="498"/>
    </row>
    <row r="116" spans="2:2" ht="13" x14ac:dyDescent="0.3">
      <c r="B116" s="496" t="s">
        <v>70</v>
      </c>
    </row>
    <row r="117" spans="2:2" x14ac:dyDescent="0.25">
      <c r="B117" s="498" t="s">
        <v>71</v>
      </c>
    </row>
    <row r="118" spans="2:2" x14ac:dyDescent="0.25">
      <c r="B118" s="498"/>
    </row>
    <row r="119" spans="2:2" ht="13" x14ac:dyDescent="0.3">
      <c r="B119" s="496" t="s">
        <v>72</v>
      </c>
    </row>
    <row r="120" spans="2:2" x14ac:dyDescent="0.25">
      <c r="B120" s="498" t="s">
        <v>73</v>
      </c>
    </row>
    <row r="121" spans="2:2" ht="13" x14ac:dyDescent="0.3">
      <c r="B121" s="496"/>
    </row>
    <row r="122" spans="2:2" ht="15.5" x14ac:dyDescent="0.35">
      <c r="B122" s="497" t="s">
        <v>74</v>
      </c>
    </row>
    <row r="123" spans="2:2" ht="13" x14ac:dyDescent="0.3">
      <c r="B123" s="496"/>
    </row>
    <row r="124" spans="2:2" ht="13" x14ac:dyDescent="0.3">
      <c r="B124" s="496" t="s">
        <v>41</v>
      </c>
    </row>
    <row r="125" spans="2:2" x14ac:dyDescent="0.25">
      <c r="B125" s="498" t="s">
        <v>75</v>
      </c>
    </row>
    <row r="126" spans="2:2" ht="13" x14ac:dyDescent="0.3">
      <c r="B126" s="496"/>
    </row>
    <row r="127" spans="2:2" ht="15.5" x14ac:dyDescent="0.35">
      <c r="B127" s="497" t="s">
        <v>76</v>
      </c>
    </row>
    <row r="128" spans="2:2" x14ac:dyDescent="0.25">
      <c r="B128" s="498"/>
    </row>
    <row r="129" spans="2:2" ht="13" x14ac:dyDescent="0.3">
      <c r="B129" s="496" t="s">
        <v>59</v>
      </c>
    </row>
    <row r="130" spans="2:2" x14ac:dyDescent="0.25">
      <c r="B130" s="498" t="s">
        <v>77</v>
      </c>
    </row>
    <row r="131" spans="2:2" ht="25" x14ac:dyDescent="0.25">
      <c r="B131" s="498" t="s">
        <v>78</v>
      </c>
    </row>
    <row r="132" spans="2:2" ht="15.5" x14ac:dyDescent="0.35">
      <c r="B132" s="500"/>
    </row>
    <row r="133" spans="2:2" ht="15.5" x14ac:dyDescent="0.35">
      <c r="B133" s="497" t="s">
        <v>79</v>
      </c>
    </row>
    <row r="134" spans="2:2" x14ac:dyDescent="0.25">
      <c r="B134" s="498"/>
    </row>
    <row r="135" spans="2:2" ht="13" x14ac:dyDescent="0.3">
      <c r="B135" s="496" t="s">
        <v>41</v>
      </c>
    </row>
    <row r="136" spans="2:2" x14ac:dyDescent="0.25">
      <c r="B136" s="498" t="s">
        <v>80</v>
      </c>
    </row>
    <row r="137" spans="2:2" ht="15.5" x14ac:dyDescent="0.35">
      <c r="B137" s="500"/>
    </row>
    <row r="138" spans="2:2" ht="15.5" x14ac:dyDescent="0.35">
      <c r="B138" s="497" t="s">
        <v>81</v>
      </c>
    </row>
    <row r="139" spans="2:2" x14ac:dyDescent="0.25">
      <c r="B139" s="498"/>
    </row>
    <row r="140" spans="2:2" ht="13" x14ac:dyDescent="0.3">
      <c r="B140" s="496" t="s">
        <v>59</v>
      </c>
    </row>
    <row r="141" spans="2:2" x14ac:dyDescent="0.25">
      <c r="B141" s="498" t="s">
        <v>82</v>
      </c>
    </row>
    <row r="142" spans="2:2" ht="15.5" x14ac:dyDescent="0.35">
      <c r="B142" s="500"/>
    </row>
    <row r="143" spans="2:2" ht="15.5" x14ac:dyDescent="0.35">
      <c r="B143" s="497" t="s">
        <v>83</v>
      </c>
    </row>
    <row r="144" spans="2:2" ht="13" x14ac:dyDescent="0.3">
      <c r="B144" s="496"/>
    </row>
    <row r="145" spans="1:31" ht="13" x14ac:dyDescent="0.3">
      <c r="B145" s="496" t="s">
        <v>84</v>
      </c>
    </row>
    <row r="146" spans="1:31" ht="15.5" x14ac:dyDescent="0.4">
      <c r="B146" s="498" t="s">
        <v>85</v>
      </c>
    </row>
    <row r="147" spans="1:31" ht="13" x14ac:dyDescent="0.3">
      <c r="B147" s="496"/>
    </row>
    <row r="148" spans="1:31" ht="13" x14ac:dyDescent="0.3">
      <c r="B148" s="496" t="s">
        <v>41</v>
      </c>
    </row>
    <row r="149" spans="1:31" x14ac:dyDescent="0.25">
      <c r="B149" s="498" t="s">
        <v>86</v>
      </c>
    </row>
    <row r="150" spans="1:31" ht="13" x14ac:dyDescent="0.3">
      <c r="B150" s="496"/>
    </row>
    <row r="151" spans="1:31" ht="15.5" x14ac:dyDescent="0.35">
      <c r="B151" s="497" t="s">
        <v>87</v>
      </c>
    </row>
    <row r="152" spans="1:31" s="66" customFormat="1" ht="13" x14ac:dyDescent="0.3">
      <c r="A152" s="61"/>
      <c r="B152" s="496"/>
      <c r="C152" s="61"/>
      <c r="D152" s="61"/>
      <c r="E152" s="61"/>
      <c r="F152" s="61"/>
      <c r="G152" s="61"/>
      <c r="H152" s="61"/>
      <c r="I152" s="61"/>
      <c r="J152" s="61"/>
      <c r="K152" s="61"/>
      <c r="L152" s="61"/>
      <c r="M152" s="61"/>
      <c r="N152" s="61"/>
      <c r="O152" s="61"/>
      <c r="P152" s="61"/>
      <c r="Q152" s="61"/>
      <c r="R152" s="61"/>
      <c r="S152" s="61"/>
      <c r="T152" s="61"/>
      <c r="U152" s="61"/>
      <c r="V152" s="61"/>
      <c r="W152" s="61"/>
      <c r="X152" s="61"/>
      <c r="Y152" s="61"/>
      <c r="Z152" s="61"/>
      <c r="AA152" s="61"/>
      <c r="AB152" s="61"/>
      <c r="AC152" s="61"/>
      <c r="AD152" s="61"/>
      <c r="AE152" s="61"/>
    </row>
    <row r="153" spans="1:31" s="66" customFormat="1" ht="13" x14ac:dyDescent="0.3">
      <c r="A153" s="61"/>
      <c r="B153" s="496" t="s">
        <v>88</v>
      </c>
      <c r="C153" s="61"/>
      <c r="D153" s="61"/>
      <c r="E153" s="61"/>
      <c r="F153" s="61"/>
      <c r="G153" s="61"/>
      <c r="H153" s="61"/>
      <c r="I153" s="61"/>
      <c r="J153" s="61"/>
      <c r="K153" s="61"/>
      <c r="L153" s="61"/>
      <c r="M153" s="61"/>
      <c r="N153" s="61"/>
      <c r="O153" s="61"/>
      <c r="P153" s="61"/>
      <c r="Q153" s="61"/>
      <c r="R153" s="61"/>
      <c r="S153" s="61"/>
      <c r="T153" s="61"/>
      <c r="U153" s="61"/>
      <c r="V153" s="61"/>
      <c r="W153" s="61"/>
      <c r="X153" s="61"/>
      <c r="Y153" s="61"/>
      <c r="Z153" s="61"/>
      <c r="AA153" s="61"/>
      <c r="AB153" s="61"/>
      <c r="AC153" s="61"/>
      <c r="AD153" s="61"/>
      <c r="AE153" s="61"/>
    </row>
    <row r="154" spans="1:31" s="66" customFormat="1" x14ac:dyDescent="0.25">
      <c r="A154" s="61"/>
      <c r="B154" s="498" t="s">
        <v>89</v>
      </c>
      <c r="C154" s="61"/>
      <c r="D154" s="61"/>
      <c r="E154" s="61"/>
      <c r="F154" s="61"/>
      <c r="G154" s="61"/>
      <c r="H154" s="61"/>
      <c r="I154" s="61"/>
      <c r="J154" s="61"/>
      <c r="K154" s="61"/>
      <c r="L154" s="61"/>
      <c r="M154" s="61"/>
      <c r="N154" s="61"/>
      <c r="O154" s="61"/>
      <c r="P154" s="61"/>
      <c r="Q154" s="61"/>
      <c r="R154" s="61"/>
      <c r="S154" s="61"/>
      <c r="T154" s="61"/>
      <c r="U154" s="61"/>
      <c r="V154" s="61"/>
      <c r="W154" s="61"/>
      <c r="X154" s="61"/>
      <c r="Y154" s="61"/>
      <c r="Z154" s="61"/>
      <c r="AA154" s="61"/>
      <c r="AB154" s="61"/>
      <c r="AC154" s="61"/>
      <c r="AD154" s="61"/>
      <c r="AE154" s="61"/>
    </row>
    <row r="155" spans="1:31" s="66" customFormat="1" ht="13" x14ac:dyDescent="0.3">
      <c r="A155" s="61"/>
      <c r="B155" s="496"/>
      <c r="C155" s="61"/>
      <c r="D155" s="61"/>
      <c r="E155" s="61"/>
      <c r="F155" s="61"/>
      <c r="G155" s="61"/>
      <c r="H155" s="61"/>
      <c r="I155" s="61"/>
      <c r="J155" s="61"/>
      <c r="K155" s="61"/>
      <c r="L155" s="61"/>
      <c r="M155" s="61"/>
      <c r="N155" s="61"/>
      <c r="O155" s="61"/>
      <c r="P155" s="61"/>
      <c r="Q155" s="61"/>
      <c r="R155" s="61"/>
      <c r="S155" s="61"/>
      <c r="T155" s="61"/>
      <c r="U155" s="61"/>
      <c r="V155" s="61"/>
      <c r="W155" s="61"/>
      <c r="X155" s="61"/>
      <c r="Y155" s="61"/>
      <c r="Z155" s="61"/>
      <c r="AA155" s="61"/>
      <c r="AB155" s="61"/>
      <c r="AC155" s="61"/>
      <c r="AD155" s="61"/>
      <c r="AE155" s="61"/>
    </row>
    <row r="156" spans="1:31" s="66" customFormat="1" ht="13" x14ac:dyDescent="0.3">
      <c r="A156" s="61"/>
      <c r="B156" s="496" t="s">
        <v>90</v>
      </c>
      <c r="C156" s="61"/>
      <c r="D156" s="61"/>
      <c r="E156" s="61"/>
      <c r="F156" s="61"/>
      <c r="G156" s="61"/>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row>
    <row r="157" spans="1:31" s="66" customFormat="1" ht="25" x14ac:dyDescent="0.25">
      <c r="A157" s="61"/>
      <c r="B157" s="498" t="s">
        <v>91</v>
      </c>
      <c r="C157" s="61"/>
      <c r="D157" s="61"/>
      <c r="E157" s="61"/>
      <c r="F157" s="61"/>
      <c r="G157" s="61"/>
      <c r="H157" s="61"/>
      <c r="I157" s="61"/>
      <c r="J157" s="61"/>
      <c r="K157" s="61"/>
      <c r="L157" s="61"/>
      <c r="M157" s="61"/>
      <c r="N157" s="61"/>
      <c r="O157" s="61"/>
      <c r="P157" s="61"/>
      <c r="Q157" s="61"/>
      <c r="R157" s="61"/>
      <c r="S157" s="61"/>
      <c r="T157" s="61"/>
      <c r="U157" s="61"/>
      <c r="V157" s="61"/>
      <c r="W157" s="61"/>
      <c r="X157" s="61"/>
      <c r="Y157" s="61"/>
      <c r="Z157" s="61"/>
      <c r="AA157" s="61"/>
      <c r="AB157" s="61"/>
      <c r="AC157" s="61"/>
      <c r="AD157" s="61"/>
      <c r="AE157" s="61"/>
    </row>
    <row r="158" spans="1:31" s="66" customFormat="1" x14ac:dyDescent="0.25">
      <c r="A158" s="61"/>
      <c r="B158" s="498" t="s">
        <v>92</v>
      </c>
      <c r="C158" s="61"/>
      <c r="D158" s="61"/>
      <c r="E158" s="61"/>
      <c r="F158" s="61"/>
      <c r="G158" s="61"/>
      <c r="H158" s="61"/>
      <c r="I158" s="61"/>
      <c r="J158" s="61"/>
      <c r="K158" s="61"/>
      <c r="L158" s="61"/>
      <c r="M158" s="61"/>
      <c r="N158" s="61"/>
      <c r="O158" s="61"/>
      <c r="P158" s="61"/>
      <c r="Q158" s="61"/>
      <c r="R158" s="61"/>
      <c r="S158" s="61"/>
      <c r="T158" s="61"/>
      <c r="U158" s="61"/>
      <c r="V158" s="61"/>
      <c r="W158" s="61"/>
      <c r="X158" s="61"/>
      <c r="Y158" s="61"/>
      <c r="Z158" s="61"/>
      <c r="AA158" s="61"/>
      <c r="AB158" s="61"/>
      <c r="AC158" s="61"/>
      <c r="AD158" s="61"/>
      <c r="AE158" s="61"/>
    </row>
    <row r="159" spans="1:31" s="66" customFormat="1" ht="13" x14ac:dyDescent="0.3">
      <c r="A159" s="61"/>
      <c r="B159" s="496"/>
      <c r="C159" s="61"/>
      <c r="D159" s="61"/>
      <c r="E159" s="61"/>
      <c r="F159" s="61"/>
      <c r="G159" s="61"/>
      <c r="H159" s="61"/>
      <c r="I159" s="61"/>
      <c r="J159" s="61"/>
      <c r="K159" s="61"/>
      <c r="L159" s="61"/>
      <c r="M159" s="61"/>
      <c r="N159" s="61"/>
      <c r="O159" s="61"/>
      <c r="P159" s="61"/>
      <c r="Q159" s="61"/>
      <c r="R159" s="61"/>
      <c r="S159" s="61"/>
      <c r="T159" s="61"/>
      <c r="U159" s="61"/>
      <c r="V159" s="61"/>
      <c r="W159" s="61"/>
      <c r="X159" s="61"/>
      <c r="Y159" s="61"/>
      <c r="Z159" s="61"/>
      <c r="AA159" s="61"/>
      <c r="AB159" s="61"/>
      <c r="AC159" s="61"/>
      <c r="AD159" s="61"/>
      <c r="AE159" s="61"/>
    </row>
    <row r="160" spans="1:31" s="66" customFormat="1" ht="13" x14ac:dyDescent="0.3">
      <c r="A160" s="61"/>
      <c r="B160" s="496" t="s">
        <v>93</v>
      </c>
      <c r="C160" s="61"/>
      <c r="D160" s="61"/>
      <c r="E160" s="61"/>
      <c r="F160" s="61"/>
      <c r="G160" s="61"/>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E160" s="61"/>
    </row>
    <row r="161" spans="1:31" s="66" customFormat="1" x14ac:dyDescent="0.25">
      <c r="A161" s="61"/>
      <c r="B161" s="498" t="s">
        <v>94</v>
      </c>
      <c r="C161" s="61"/>
      <c r="D161" s="61"/>
      <c r="E161" s="61"/>
      <c r="F161" s="61"/>
      <c r="G161" s="61"/>
      <c r="H161" s="61"/>
      <c r="I161" s="61"/>
      <c r="J161" s="61"/>
      <c r="K161" s="61"/>
      <c r="L161" s="61"/>
      <c r="M161" s="61"/>
      <c r="N161" s="61"/>
      <c r="O161" s="61"/>
      <c r="P161" s="61"/>
      <c r="Q161" s="61"/>
      <c r="R161" s="61"/>
      <c r="S161" s="61"/>
      <c r="T161" s="61"/>
      <c r="U161" s="61"/>
      <c r="V161" s="61"/>
      <c r="W161" s="61"/>
      <c r="X161" s="61"/>
      <c r="Y161" s="61"/>
      <c r="Z161" s="61"/>
      <c r="AA161" s="61"/>
      <c r="AB161" s="61"/>
      <c r="AC161" s="61"/>
      <c r="AD161" s="61"/>
      <c r="AE161" s="61"/>
    </row>
    <row r="162" spans="1:31" s="66" customFormat="1" x14ac:dyDescent="0.25">
      <c r="A162" s="61"/>
      <c r="B162" s="498" t="s">
        <v>92</v>
      </c>
      <c r="C162" s="61"/>
      <c r="D162" s="61"/>
      <c r="E162" s="61"/>
      <c r="F162" s="61"/>
      <c r="G162" s="61"/>
      <c r="H162" s="61"/>
      <c r="I162" s="61"/>
      <c r="J162" s="61"/>
      <c r="K162" s="61"/>
      <c r="L162" s="61"/>
      <c r="M162" s="61"/>
      <c r="N162" s="61"/>
      <c r="O162" s="61"/>
      <c r="P162" s="61"/>
      <c r="Q162" s="61"/>
      <c r="R162" s="61"/>
      <c r="S162" s="61"/>
      <c r="T162" s="61"/>
      <c r="U162" s="61"/>
      <c r="V162" s="61"/>
      <c r="W162" s="61"/>
      <c r="X162" s="61"/>
      <c r="Y162" s="61"/>
      <c r="Z162" s="61"/>
      <c r="AA162" s="61"/>
      <c r="AB162" s="61"/>
      <c r="AC162" s="61"/>
      <c r="AD162" s="61"/>
      <c r="AE162" s="61"/>
    </row>
    <row r="163" spans="1:31" s="66" customFormat="1" x14ac:dyDescent="0.25">
      <c r="A163" s="61"/>
      <c r="B163" s="498"/>
      <c r="C163" s="61"/>
      <c r="D163" s="61"/>
      <c r="E163" s="61"/>
      <c r="F163" s="61"/>
      <c r="G163" s="61"/>
      <c r="H163" s="61"/>
      <c r="I163" s="61"/>
      <c r="J163" s="61"/>
      <c r="K163" s="61"/>
      <c r="L163" s="61"/>
      <c r="M163" s="61"/>
      <c r="N163" s="61"/>
      <c r="O163" s="61"/>
      <c r="P163" s="61"/>
      <c r="Q163" s="61"/>
      <c r="R163" s="61"/>
      <c r="S163" s="61"/>
      <c r="T163" s="61"/>
      <c r="U163" s="61"/>
      <c r="V163" s="61"/>
      <c r="W163" s="61"/>
      <c r="X163" s="61"/>
      <c r="Y163" s="61"/>
      <c r="Z163" s="61"/>
      <c r="AA163" s="61"/>
      <c r="AB163" s="61"/>
      <c r="AC163" s="61"/>
      <c r="AD163" s="61"/>
      <c r="AE163" s="61"/>
    </row>
    <row r="164" spans="1:31" s="66" customFormat="1" ht="13" x14ac:dyDescent="0.3">
      <c r="A164" s="61"/>
      <c r="B164" s="496" t="s">
        <v>84</v>
      </c>
      <c r="C164" s="61"/>
      <c r="D164" s="61"/>
      <c r="E164" s="61"/>
      <c r="F164" s="61"/>
      <c r="G164" s="61"/>
      <c r="H164" s="61"/>
      <c r="I164" s="61"/>
      <c r="J164" s="61"/>
      <c r="K164" s="61"/>
      <c r="L164" s="61"/>
      <c r="M164" s="61"/>
      <c r="N164" s="61"/>
      <c r="O164" s="61"/>
      <c r="P164" s="61"/>
      <c r="Q164" s="61"/>
      <c r="R164" s="61"/>
      <c r="S164" s="61"/>
      <c r="T164" s="61"/>
      <c r="U164" s="61"/>
      <c r="V164" s="61"/>
      <c r="W164" s="61"/>
      <c r="X164" s="61"/>
      <c r="Y164" s="61"/>
      <c r="Z164" s="61"/>
      <c r="AA164" s="61"/>
      <c r="AB164" s="61"/>
      <c r="AC164" s="61"/>
      <c r="AD164" s="61"/>
      <c r="AE164" s="61"/>
    </row>
    <row r="165" spans="1:31" s="66" customFormat="1" x14ac:dyDescent="0.25">
      <c r="A165" s="61"/>
      <c r="B165" s="498" t="s">
        <v>95</v>
      </c>
      <c r="C165" s="61"/>
      <c r="D165" s="61"/>
      <c r="E165" s="61"/>
      <c r="F165" s="61"/>
      <c r="G165" s="61"/>
      <c r="H165" s="61"/>
      <c r="I165" s="61"/>
      <c r="J165" s="61"/>
      <c r="K165" s="61"/>
      <c r="L165" s="61"/>
      <c r="M165" s="61"/>
      <c r="N165" s="61"/>
      <c r="O165" s="61"/>
      <c r="P165" s="61"/>
      <c r="Q165" s="61"/>
      <c r="R165" s="61"/>
      <c r="S165" s="61"/>
      <c r="T165" s="61"/>
      <c r="U165" s="61"/>
      <c r="V165" s="61"/>
      <c r="W165" s="61"/>
      <c r="X165" s="61"/>
      <c r="Y165" s="61"/>
      <c r="Z165" s="61"/>
      <c r="AA165" s="61"/>
      <c r="AB165" s="61"/>
      <c r="AC165" s="61"/>
      <c r="AD165" s="61"/>
      <c r="AE165" s="61"/>
    </row>
    <row r="166" spans="1:31" s="66" customFormat="1" x14ac:dyDescent="0.25">
      <c r="A166" s="61"/>
      <c r="B166" s="498"/>
      <c r="C166" s="61"/>
      <c r="D166" s="61"/>
      <c r="E166" s="61"/>
      <c r="F166" s="61"/>
      <c r="G166" s="61"/>
      <c r="H166" s="61"/>
      <c r="I166" s="61"/>
      <c r="J166" s="61"/>
      <c r="K166" s="61"/>
      <c r="L166" s="61"/>
      <c r="M166" s="61"/>
      <c r="N166" s="61"/>
      <c r="O166" s="61"/>
      <c r="P166" s="61"/>
      <c r="Q166" s="61"/>
      <c r="R166" s="61"/>
      <c r="S166" s="61"/>
      <c r="T166" s="61"/>
      <c r="U166" s="61"/>
      <c r="V166" s="61"/>
      <c r="W166" s="61"/>
      <c r="X166" s="61"/>
      <c r="Y166" s="61"/>
      <c r="Z166" s="61"/>
      <c r="AA166" s="61"/>
      <c r="AB166" s="61"/>
      <c r="AC166" s="61"/>
      <c r="AD166" s="61"/>
      <c r="AE166" s="61"/>
    </row>
    <row r="167" spans="1:31" s="66" customFormat="1" ht="13" x14ac:dyDescent="0.3">
      <c r="A167" s="61"/>
      <c r="B167" s="496" t="s">
        <v>41</v>
      </c>
      <c r="C167" s="61"/>
      <c r="D167" s="61"/>
      <c r="E167" s="61"/>
      <c r="F167" s="61"/>
      <c r="G167" s="61"/>
      <c r="H167" s="61"/>
      <c r="I167" s="61"/>
      <c r="J167" s="61"/>
      <c r="K167" s="61"/>
      <c r="L167" s="61"/>
      <c r="M167" s="61"/>
      <c r="N167" s="61"/>
      <c r="O167" s="61"/>
      <c r="P167" s="61"/>
      <c r="Q167" s="61"/>
      <c r="R167" s="61"/>
      <c r="S167" s="61"/>
      <c r="T167" s="61"/>
      <c r="U167" s="61"/>
      <c r="V167" s="61"/>
      <c r="W167" s="61"/>
      <c r="X167" s="61"/>
      <c r="Y167" s="61"/>
      <c r="Z167" s="61"/>
      <c r="AA167" s="61"/>
      <c r="AB167" s="61"/>
      <c r="AC167" s="61"/>
      <c r="AD167" s="61"/>
      <c r="AE167" s="61"/>
    </row>
    <row r="168" spans="1:31" s="66" customFormat="1" x14ac:dyDescent="0.25">
      <c r="A168" s="61"/>
      <c r="B168" s="498" t="s">
        <v>96</v>
      </c>
      <c r="C168" s="61"/>
      <c r="D168" s="61"/>
      <c r="E168" s="61"/>
      <c r="F168" s="61"/>
      <c r="G168" s="61"/>
      <c r="H168" s="61"/>
      <c r="I168" s="61"/>
      <c r="J168" s="61"/>
      <c r="K168" s="61"/>
      <c r="L168" s="61"/>
      <c r="M168" s="61"/>
      <c r="N168" s="61"/>
      <c r="O168" s="61"/>
      <c r="P168" s="61"/>
      <c r="Q168" s="61"/>
      <c r="R168" s="61"/>
      <c r="S168" s="61"/>
      <c r="T168" s="61"/>
      <c r="U168" s="61"/>
      <c r="V168" s="61"/>
      <c r="W168" s="61"/>
      <c r="X168" s="61"/>
      <c r="Y168" s="61"/>
      <c r="Z168" s="61"/>
      <c r="AA168" s="61"/>
      <c r="AB168" s="61"/>
      <c r="AC168" s="61"/>
      <c r="AD168" s="61"/>
      <c r="AE168" s="61"/>
    </row>
    <row r="169" spans="1:31" s="66" customFormat="1" x14ac:dyDescent="0.25">
      <c r="A169" s="61"/>
      <c r="B169" s="498"/>
      <c r="C169" s="61"/>
      <c r="D169" s="61"/>
      <c r="E169" s="61"/>
      <c r="F169" s="61"/>
      <c r="G169" s="61"/>
      <c r="H169" s="61"/>
      <c r="I169" s="61"/>
      <c r="J169" s="61"/>
      <c r="K169" s="61"/>
      <c r="L169" s="61"/>
      <c r="M169" s="61"/>
      <c r="N169" s="61"/>
      <c r="O169" s="61"/>
      <c r="P169" s="61"/>
      <c r="Q169" s="61"/>
      <c r="R169" s="61"/>
      <c r="S169" s="61"/>
      <c r="T169" s="61"/>
      <c r="U169" s="61"/>
      <c r="V169" s="61"/>
      <c r="W169" s="61"/>
      <c r="X169" s="61"/>
      <c r="Y169" s="61"/>
      <c r="Z169" s="61"/>
      <c r="AA169" s="61"/>
      <c r="AB169" s="61"/>
      <c r="AC169" s="61"/>
      <c r="AD169" s="61"/>
      <c r="AE169" s="61"/>
    </row>
    <row r="170" spans="1:31" s="66" customFormat="1" ht="15.5" x14ac:dyDescent="0.35">
      <c r="A170" s="61"/>
      <c r="B170" s="497" t="s">
        <v>97</v>
      </c>
      <c r="C170" s="61"/>
      <c r="D170" s="61"/>
      <c r="E170" s="61"/>
      <c r="F170" s="61"/>
      <c r="G170" s="61"/>
      <c r="H170" s="61"/>
      <c r="I170" s="61"/>
      <c r="J170" s="61"/>
      <c r="K170" s="61"/>
      <c r="L170" s="61"/>
      <c r="M170" s="61"/>
      <c r="N170" s="61"/>
      <c r="O170" s="61"/>
      <c r="P170" s="61"/>
      <c r="Q170" s="61"/>
      <c r="R170" s="61"/>
      <c r="S170" s="61"/>
      <c r="T170" s="61"/>
      <c r="U170" s="61"/>
      <c r="V170" s="61"/>
      <c r="W170" s="61"/>
      <c r="X170" s="61"/>
      <c r="Y170" s="61"/>
      <c r="Z170" s="61"/>
      <c r="AA170" s="61"/>
      <c r="AB170" s="61"/>
      <c r="AC170" s="61"/>
      <c r="AD170" s="61"/>
      <c r="AE170" s="61"/>
    </row>
    <row r="171" spans="1:31" s="66" customFormat="1" ht="13" x14ac:dyDescent="0.3">
      <c r="A171" s="61"/>
      <c r="B171" s="496"/>
      <c r="C171" s="61"/>
      <c r="D171" s="61"/>
      <c r="E171" s="61"/>
      <c r="F171" s="61"/>
      <c r="G171" s="61"/>
      <c r="H171" s="61"/>
      <c r="I171" s="61"/>
      <c r="J171" s="61"/>
      <c r="K171" s="61"/>
      <c r="L171" s="61"/>
      <c r="M171" s="61"/>
      <c r="N171" s="61"/>
      <c r="O171" s="61"/>
      <c r="P171" s="61"/>
      <c r="Q171" s="61"/>
      <c r="R171" s="61"/>
      <c r="S171" s="61"/>
      <c r="T171" s="61"/>
      <c r="U171" s="61"/>
      <c r="V171" s="61"/>
      <c r="W171" s="61"/>
      <c r="X171" s="61"/>
      <c r="Y171" s="61"/>
      <c r="Z171" s="61"/>
      <c r="AA171" s="61"/>
      <c r="AB171" s="61"/>
      <c r="AC171" s="61"/>
      <c r="AD171" s="61"/>
      <c r="AE171" s="61"/>
    </row>
    <row r="172" spans="1:31" s="66" customFormat="1" ht="13" x14ac:dyDescent="0.3">
      <c r="A172" s="61"/>
      <c r="B172" s="496" t="s">
        <v>98</v>
      </c>
      <c r="C172" s="61"/>
      <c r="D172" s="61"/>
      <c r="E172" s="61"/>
      <c r="F172" s="61"/>
      <c r="G172" s="61"/>
      <c r="H172" s="61"/>
      <c r="I172" s="61"/>
      <c r="J172" s="61"/>
      <c r="K172" s="61"/>
      <c r="L172" s="61"/>
      <c r="M172" s="61"/>
      <c r="N172" s="61"/>
      <c r="O172" s="61"/>
      <c r="P172" s="61"/>
      <c r="Q172" s="61"/>
      <c r="R172" s="61"/>
      <c r="S172" s="61"/>
      <c r="T172" s="61"/>
      <c r="U172" s="61"/>
      <c r="V172" s="61"/>
      <c r="W172" s="61"/>
      <c r="X172" s="61"/>
      <c r="Y172" s="61"/>
      <c r="Z172" s="61"/>
      <c r="AA172" s="61"/>
      <c r="AB172" s="61"/>
      <c r="AC172" s="61"/>
      <c r="AD172" s="61"/>
      <c r="AE172" s="61"/>
    </row>
    <row r="173" spans="1:31" s="66" customFormat="1" ht="13" x14ac:dyDescent="0.3">
      <c r="A173" s="61"/>
      <c r="B173" s="496" t="s">
        <v>99</v>
      </c>
      <c r="C173" s="61"/>
      <c r="D173" s="61"/>
      <c r="E173" s="61"/>
      <c r="F173" s="61"/>
      <c r="G173" s="61"/>
      <c r="H173" s="61"/>
      <c r="I173" s="61"/>
      <c r="J173" s="61"/>
      <c r="K173" s="61"/>
      <c r="L173" s="61"/>
      <c r="M173" s="61"/>
      <c r="N173" s="61"/>
      <c r="O173" s="61"/>
      <c r="P173" s="61"/>
      <c r="Q173" s="61"/>
      <c r="R173" s="61"/>
      <c r="S173" s="61"/>
      <c r="T173" s="61"/>
      <c r="U173" s="61"/>
      <c r="V173" s="61"/>
      <c r="W173" s="61"/>
      <c r="X173" s="61"/>
      <c r="Y173" s="61"/>
      <c r="Z173" s="61"/>
      <c r="AA173" s="61"/>
      <c r="AB173" s="61"/>
      <c r="AC173" s="61"/>
      <c r="AD173" s="61"/>
      <c r="AE173" s="61"/>
    </row>
    <row r="174" spans="1:31" ht="13" x14ac:dyDescent="0.3">
      <c r="B174" s="496"/>
    </row>
    <row r="175" spans="1:31" ht="13" x14ac:dyDescent="0.3">
      <c r="B175" s="496" t="s">
        <v>90</v>
      </c>
    </row>
    <row r="176" spans="1:31" x14ac:dyDescent="0.25">
      <c r="B176" s="498" t="s">
        <v>100</v>
      </c>
    </row>
    <row r="177" spans="2:2" ht="25" x14ac:dyDescent="0.25">
      <c r="B177" s="498" t="s">
        <v>101</v>
      </c>
    </row>
    <row r="178" spans="2:2" ht="25" x14ac:dyDescent="0.25">
      <c r="B178" s="498" t="s">
        <v>102</v>
      </c>
    </row>
    <row r="179" spans="2:2" ht="25" x14ac:dyDescent="0.25">
      <c r="B179" s="498" t="s">
        <v>103</v>
      </c>
    </row>
    <row r="180" spans="2:2" ht="13" x14ac:dyDescent="0.3">
      <c r="B180" s="496"/>
    </row>
    <row r="181" spans="2:2" ht="13" x14ac:dyDescent="0.3">
      <c r="B181" s="496" t="s">
        <v>93</v>
      </c>
    </row>
    <row r="182" spans="2:2" x14ac:dyDescent="0.25">
      <c r="B182" s="498" t="s">
        <v>104</v>
      </c>
    </row>
    <row r="183" spans="2:2" x14ac:dyDescent="0.25">
      <c r="B183" s="498" t="s">
        <v>105</v>
      </c>
    </row>
    <row r="184" spans="2:2" ht="28" x14ac:dyDescent="0.25">
      <c r="B184" s="498" t="s">
        <v>106</v>
      </c>
    </row>
    <row r="185" spans="2:2" ht="28" x14ac:dyDescent="0.25">
      <c r="B185" s="498" t="s">
        <v>107</v>
      </c>
    </row>
    <row r="186" spans="2:2" x14ac:dyDescent="0.25">
      <c r="B186" s="498" t="s">
        <v>108</v>
      </c>
    </row>
    <row r="187" spans="2:2" x14ac:dyDescent="0.25">
      <c r="B187" s="498" t="s">
        <v>109</v>
      </c>
    </row>
    <row r="188" spans="2:2" ht="37.5" x14ac:dyDescent="0.25">
      <c r="B188" s="498" t="s">
        <v>110</v>
      </c>
    </row>
    <row r="189" spans="2:2" x14ac:dyDescent="0.25">
      <c r="B189" s="498" t="s">
        <v>111</v>
      </c>
    </row>
    <row r="190" spans="2:2" x14ac:dyDescent="0.25">
      <c r="B190" s="498"/>
    </row>
    <row r="191" spans="2:2" ht="13" x14ac:dyDescent="0.3">
      <c r="B191" s="496" t="s">
        <v>112</v>
      </c>
    </row>
    <row r="192" spans="2:2" ht="37.5" x14ac:dyDescent="0.25">
      <c r="B192" s="498" t="s">
        <v>113</v>
      </c>
    </row>
    <row r="193" spans="2:2" x14ac:dyDescent="0.25">
      <c r="B193" s="498"/>
    </row>
    <row r="194" spans="2:2" ht="13" x14ac:dyDescent="0.3">
      <c r="B194" s="496" t="s">
        <v>41</v>
      </c>
    </row>
    <row r="195" spans="2:2" x14ac:dyDescent="0.25">
      <c r="B195" s="499" t="s">
        <v>114</v>
      </c>
    </row>
    <row r="196" spans="2:2" x14ac:dyDescent="0.25">
      <c r="B196" s="61"/>
    </row>
    <row r="197" spans="2:2" x14ac:dyDescent="0.25">
      <c r="B197" s="61"/>
    </row>
    <row r="198" spans="2:2" x14ac:dyDescent="0.25">
      <c r="B198" s="61"/>
    </row>
    <row r="199" spans="2:2" x14ac:dyDescent="0.25">
      <c r="B199" s="61"/>
    </row>
    <row r="200" spans="2:2" x14ac:dyDescent="0.25">
      <c r="B200" s="61"/>
    </row>
    <row r="201" spans="2:2" x14ac:dyDescent="0.25">
      <c r="B201" s="61"/>
    </row>
    <row r="202" spans="2:2" x14ac:dyDescent="0.25">
      <c r="B202" s="61"/>
    </row>
    <row r="203" spans="2:2" x14ac:dyDescent="0.25">
      <c r="B203" s="61"/>
    </row>
    <row r="204" spans="2:2" x14ac:dyDescent="0.25">
      <c r="B204" s="61"/>
    </row>
    <row r="205" spans="2:2" x14ac:dyDescent="0.25">
      <c r="B205" s="61"/>
    </row>
    <row r="206" spans="2:2" x14ac:dyDescent="0.25">
      <c r="B206" s="61"/>
    </row>
    <row r="207" spans="2:2" x14ac:dyDescent="0.25">
      <c r="B207" s="61"/>
    </row>
    <row r="208" spans="2:2" x14ac:dyDescent="0.25">
      <c r="B208" s="61"/>
    </row>
    <row r="209" spans="2:2" x14ac:dyDescent="0.25">
      <c r="B209" s="61"/>
    </row>
    <row r="210" spans="2:2" x14ac:dyDescent="0.25">
      <c r="B210" s="61"/>
    </row>
    <row r="211" spans="2:2" x14ac:dyDescent="0.25">
      <c r="B211" s="61"/>
    </row>
    <row r="212" spans="2:2" x14ac:dyDescent="0.25">
      <c r="B212" s="61"/>
    </row>
    <row r="213" spans="2:2" x14ac:dyDescent="0.25">
      <c r="B213" s="61"/>
    </row>
    <row r="214" spans="2:2" x14ac:dyDescent="0.25">
      <c r="B214" s="61"/>
    </row>
    <row r="215" spans="2:2" x14ac:dyDescent="0.25">
      <c r="B215" s="61"/>
    </row>
    <row r="216" spans="2:2" x14ac:dyDescent="0.25">
      <c r="B216" s="61"/>
    </row>
    <row r="217" spans="2:2" x14ac:dyDescent="0.25">
      <c r="B217" s="61"/>
    </row>
    <row r="218" spans="2:2" x14ac:dyDescent="0.25">
      <c r="B218" s="61"/>
    </row>
    <row r="219" spans="2:2" x14ac:dyDescent="0.25">
      <c r="B219" s="61"/>
    </row>
    <row r="220" spans="2:2" x14ac:dyDescent="0.25">
      <c r="B220" s="61"/>
    </row>
    <row r="221" spans="2:2" x14ac:dyDescent="0.25">
      <c r="B221" s="61"/>
    </row>
    <row r="222" spans="2:2" x14ac:dyDescent="0.25">
      <c r="B222" s="61"/>
    </row>
    <row r="223" spans="2:2" x14ac:dyDescent="0.25">
      <c r="B223" s="61"/>
    </row>
    <row r="224" spans="2:2" x14ac:dyDescent="0.25">
      <c r="B224" s="61"/>
    </row>
    <row r="225" spans="2:2" x14ac:dyDescent="0.25">
      <c r="B225" s="61"/>
    </row>
    <row r="226" spans="2:2" x14ac:dyDescent="0.25">
      <c r="B226" s="61"/>
    </row>
    <row r="227" spans="2:2" x14ac:dyDescent="0.25">
      <c r="B227" s="61"/>
    </row>
    <row r="228" spans="2:2" x14ac:dyDescent="0.25">
      <c r="B228" s="61"/>
    </row>
    <row r="229" spans="2:2" x14ac:dyDescent="0.25">
      <c r="B229" s="61"/>
    </row>
    <row r="230" spans="2:2" x14ac:dyDescent="0.25">
      <c r="B230" s="61"/>
    </row>
    <row r="231" spans="2:2" x14ac:dyDescent="0.25">
      <c r="B231" s="61"/>
    </row>
    <row r="232" spans="2:2" x14ac:dyDescent="0.25">
      <c r="B232" s="61"/>
    </row>
    <row r="233" spans="2:2" x14ac:dyDescent="0.25">
      <c r="B233" s="61"/>
    </row>
    <row r="234" spans="2:2" x14ac:dyDescent="0.25">
      <c r="B234" s="61"/>
    </row>
    <row r="235" spans="2:2" x14ac:dyDescent="0.25">
      <c r="B235" s="61"/>
    </row>
    <row r="236" spans="2:2" x14ac:dyDescent="0.25">
      <c r="B236" s="61"/>
    </row>
    <row r="237" spans="2:2" x14ac:dyDescent="0.25">
      <c r="B237" s="61"/>
    </row>
    <row r="238" spans="2:2" x14ac:dyDescent="0.25">
      <c r="B238" s="61"/>
    </row>
    <row r="239" spans="2:2" x14ac:dyDescent="0.25">
      <c r="B239" s="61"/>
    </row>
    <row r="240" spans="2:2" x14ac:dyDescent="0.25">
      <c r="B240" s="61"/>
    </row>
    <row r="241" spans="2:2" x14ac:dyDescent="0.25">
      <c r="B241" s="61"/>
    </row>
    <row r="242" spans="2:2" x14ac:dyDescent="0.25">
      <c r="B242" s="61"/>
    </row>
    <row r="243" spans="2:2" x14ac:dyDescent="0.25">
      <c r="B243" s="61"/>
    </row>
    <row r="244" spans="2:2" x14ac:dyDescent="0.25">
      <c r="B244" s="61"/>
    </row>
    <row r="245" spans="2:2" x14ac:dyDescent="0.25">
      <c r="B245" s="61"/>
    </row>
    <row r="246" spans="2:2" x14ac:dyDescent="0.25">
      <c r="B246" s="61"/>
    </row>
    <row r="247" spans="2:2" x14ac:dyDescent="0.25">
      <c r="B247" s="61"/>
    </row>
    <row r="248" spans="2:2" x14ac:dyDescent="0.25">
      <c r="B248" s="61"/>
    </row>
    <row r="249" spans="2:2" x14ac:dyDescent="0.25">
      <c r="B249" s="61"/>
    </row>
    <row r="250" spans="2:2" x14ac:dyDescent="0.25">
      <c r="B250" s="61"/>
    </row>
    <row r="251" spans="2:2" x14ac:dyDescent="0.25">
      <c r="B251" s="61"/>
    </row>
    <row r="252" spans="2:2" x14ac:dyDescent="0.25">
      <c r="B252" s="61"/>
    </row>
    <row r="253" spans="2:2" x14ac:dyDescent="0.25">
      <c r="B253" s="61"/>
    </row>
    <row r="254" spans="2:2" x14ac:dyDescent="0.25">
      <c r="B254" s="61"/>
    </row>
    <row r="255" spans="2:2" x14ac:dyDescent="0.25">
      <c r="B255" s="61"/>
    </row>
    <row r="256" spans="2:2" x14ac:dyDescent="0.25">
      <c r="B256" s="61"/>
    </row>
    <row r="257" spans="2:2" x14ac:dyDescent="0.25">
      <c r="B257" s="61"/>
    </row>
    <row r="258" spans="2:2" x14ac:dyDescent="0.25">
      <c r="B258" s="61"/>
    </row>
    <row r="259" spans="2:2" x14ac:dyDescent="0.25">
      <c r="B259" s="61"/>
    </row>
    <row r="260" spans="2:2" x14ac:dyDescent="0.25">
      <c r="B260" s="61"/>
    </row>
    <row r="261" spans="2:2" x14ac:dyDescent="0.25">
      <c r="B261" s="61"/>
    </row>
    <row r="262" spans="2:2" x14ac:dyDescent="0.25">
      <c r="B262" s="61"/>
    </row>
    <row r="263" spans="2:2" x14ac:dyDescent="0.25">
      <c r="B263" s="61"/>
    </row>
    <row r="264" spans="2:2" x14ac:dyDescent="0.25">
      <c r="B264" s="61"/>
    </row>
    <row r="265" spans="2:2" x14ac:dyDescent="0.25">
      <c r="B265" s="61"/>
    </row>
    <row r="266" spans="2:2" x14ac:dyDescent="0.25">
      <c r="B266" s="61"/>
    </row>
    <row r="267" spans="2:2" x14ac:dyDescent="0.25">
      <c r="B267" s="61"/>
    </row>
    <row r="268" spans="2:2" x14ac:dyDescent="0.25">
      <c r="B268" s="61"/>
    </row>
    <row r="269" spans="2:2" x14ac:dyDescent="0.25">
      <c r="B269" s="61"/>
    </row>
    <row r="270" spans="2:2" x14ac:dyDescent="0.25">
      <c r="B270" s="61"/>
    </row>
    <row r="271" spans="2:2" x14ac:dyDescent="0.25">
      <c r="B271" s="61"/>
    </row>
    <row r="272" spans="2:2" x14ac:dyDescent="0.25">
      <c r="B272" s="61"/>
    </row>
    <row r="273" spans="2:2" x14ac:dyDescent="0.25">
      <c r="B273" s="61"/>
    </row>
    <row r="274" spans="2:2" x14ac:dyDescent="0.25">
      <c r="B274" s="61"/>
    </row>
    <row r="275" spans="2:2" x14ac:dyDescent="0.25">
      <c r="B275" s="61"/>
    </row>
    <row r="276" spans="2:2" x14ac:dyDescent="0.25">
      <c r="B276" s="61"/>
    </row>
    <row r="277" spans="2:2" x14ac:dyDescent="0.25">
      <c r="B277" s="61"/>
    </row>
    <row r="278" spans="2:2" x14ac:dyDescent="0.25">
      <c r="B278" s="61"/>
    </row>
    <row r="279" spans="2:2" x14ac:dyDescent="0.25">
      <c r="B279" s="61"/>
    </row>
    <row r="280" spans="2:2" x14ac:dyDescent="0.25">
      <c r="B280" s="61"/>
    </row>
    <row r="281" spans="2:2" x14ac:dyDescent="0.25">
      <c r="B281" s="61"/>
    </row>
    <row r="282" spans="2:2" x14ac:dyDescent="0.25">
      <c r="B282" s="61"/>
    </row>
    <row r="283" spans="2:2" x14ac:dyDescent="0.25">
      <c r="B283" s="61"/>
    </row>
  </sheetData>
  <sheetProtection algorithmName="SHA-512" hashValue="nurEM8oPmepigb1bFaLuB1hf0VAT5dxIyfdOwoWFKqdTXnsYOY1k+wDwUmu5iN6OO65HgLt+ObQpcw4pJbVuyA==" saltValue="lUxOlrSdabow2D7F2o/cWA==" spinCount="100000" sheet="1" objects="1" scenarios="1"/>
  <customSheetViews>
    <customSheetView guid="{A6F5A5FB-2E6E-47D3-842C-0D3D06DB341A}" scale="75" fitToPage="1" hiddenRows="1" hiddenColumns="1">
      <selection activeCell="B1" sqref="B1"/>
      <rowBreaks count="1" manualBreakCount="1">
        <brk id="41" min="1" max="1" man="1"/>
      </rowBreaks>
      <pageMargins left="0" right="0" top="0" bottom="0" header="0" footer="0"/>
      <printOptions horizontalCentered="1"/>
      <pageSetup scale="55" fitToHeight="4" orientation="portrait" r:id="rId1"/>
      <headerFooter alignWithMargins="0"/>
    </customSheetView>
  </customSheetViews>
  <phoneticPr fontId="2" type="noConversion"/>
  <printOptions horizontalCentered="1"/>
  <pageMargins left="0.25" right="0.25" top="0.25" bottom="0.25" header="0.25" footer="0.25"/>
  <pageSetup scale="55" fitToHeight="4" orientation="portrait" r:id="rId2"/>
  <headerFooter alignWithMargins="0"/>
  <rowBreaks count="1" manualBreakCount="1">
    <brk id="46" min="1" max="1" man="1"/>
  </row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B1:M72"/>
  <sheetViews>
    <sheetView showGridLines="0" topLeftCell="A48" zoomScale="80" zoomScaleNormal="80" workbookViewId="0">
      <selection activeCell="C65" sqref="C65"/>
    </sheetView>
  </sheetViews>
  <sheetFormatPr defaultColWidth="9.1796875" defaultRowHeight="12.5" x14ac:dyDescent="0.25"/>
  <cols>
    <col min="1" max="1" width="4.26953125" style="13" customWidth="1"/>
    <col min="2" max="2" width="22.54296875" style="13" customWidth="1"/>
    <col min="3" max="3" width="23.1796875" style="13" customWidth="1"/>
    <col min="4" max="5" width="13.1796875" style="13" bestFit="1" customWidth="1"/>
    <col min="6" max="6" width="16.7265625" style="46" bestFit="1" customWidth="1"/>
    <col min="7" max="7" width="13.1796875" style="13" bestFit="1" customWidth="1"/>
    <col min="8" max="8" width="36.453125" style="13" customWidth="1"/>
    <col min="9" max="9" width="15.81640625" style="13" bestFit="1" customWidth="1"/>
    <col min="10" max="11" width="13.1796875" style="13" bestFit="1" customWidth="1"/>
    <col min="12" max="12" width="14.453125" style="13" bestFit="1" customWidth="1"/>
    <col min="13" max="13" width="11.81640625" style="13" bestFit="1" customWidth="1"/>
    <col min="14" max="16384" width="9.1796875" style="13"/>
  </cols>
  <sheetData>
    <row r="1" spans="2:13" ht="13" x14ac:dyDescent="0.3">
      <c r="B1" s="14" t="s">
        <v>0</v>
      </c>
    </row>
    <row r="2" spans="2:13" ht="13" x14ac:dyDescent="0.3">
      <c r="B2" s="14" t="s">
        <v>116</v>
      </c>
    </row>
    <row r="3" spans="2:13" ht="13" x14ac:dyDescent="0.3">
      <c r="B3" s="14"/>
    </row>
    <row r="4" spans="2:13" ht="18" x14ac:dyDescent="0.4">
      <c r="B4" s="15" t="s">
        <v>455</v>
      </c>
    </row>
    <row r="5" spans="2:13" ht="13" x14ac:dyDescent="0.3">
      <c r="B5" s="3"/>
    </row>
    <row r="6" spans="2:13" ht="13" x14ac:dyDescent="0.3">
      <c r="B6" s="3" t="s">
        <v>118</v>
      </c>
      <c r="C6" s="26"/>
      <c r="D6" s="27"/>
      <c r="E6" s="46"/>
      <c r="G6" s="46"/>
      <c r="H6" s="46"/>
      <c r="I6" s="46"/>
    </row>
    <row r="7" spans="2:13" ht="13" x14ac:dyDescent="0.3">
      <c r="B7" s="211" t="s">
        <v>119</v>
      </c>
      <c r="C7" s="95" t="s">
        <v>174</v>
      </c>
      <c r="D7" s="217"/>
      <c r="E7" s="217"/>
      <c r="F7" s="179"/>
      <c r="G7" s="46"/>
      <c r="H7" s="46"/>
      <c r="I7" s="46"/>
    </row>
    <row r="8" spans="2:13" ht="13" x14ac:dyDescent="0.3">
      <c r="B8" s="213" t="s">
        <v>121</v>
      </c>
      <c r="C8" s="205" t="s">
        <v>122</v>
      </c>
      <c r="D8" s="218"/>
      <c r="E8" s="218"/>
      <c r="F8" s="219"/>
      <c r="G8" s="46"/>
      <c r="H8" s="46"/>
      <c r="I8" s="46"/>
    </row>
    <row r="9" spans="2:13" ht="13" x14ac:dyDescent="0.3">
      <c r="B9" s="251" t="s">
        <v>179</v>
      </c>
      <c r="C9" s="254" t="s">
        <v>180</v>
      </c>
      <c r="D9" s="256"/>
      <c r="E9" s="256"/>
      <c r="F9" s="257"/>
      <c r="G9" s="46"/>
      <c r="H9" s="46"/>
      <c r="I9" s="46"/>
    </row>
    <row r="10" spans="2:13" x14ac:dyDescent="0.25">
      <c r="G10" s="46"/>
      <c r="H10" s="46"/>
      <c r="I10" s="46"/>
    </row>
    <row r="11" spans="2:13" ht="13" x14ac:dyDescent="0.3">
      <c r="B11" s="100" t="s">
        <v>282</v>
      </c>
    </row>
    <row r="12" spans="2:13" ht="33" customHeight="1" x14ac:dyDescent="0.25">
      <c r="B12" s="220" t="s">
        <v>447</v>
      </c>
    </row>
    <row r="13" spans="2:13" ht="14" x14ac:dyDescent="0.3">
      <c r="B13" s="210" t="s">
        <v>456</v>
      </c>
    </row>
    <row r="15" spans="2:13" ht="15" x14ac:dyDescent="0.4">
      <c r="B15" s="379" t="s">
        <v>195</v>
      </c>
      <c r="C15" s="381" t="str">
        <f>'IV. Data Inputs-PE'!B96</f>
        <v>Population 1</v>
      </c>
      <c r="D15" s="381" t="str">
        <f>'IV. Data Inputs-PE'!B97</f>
        <v>Population 2</v>
      </c>
      <c r="E15" s="381" t="str">
        <f>'IV. Data Inputs-PE'!B98</f>
        <v>Population 3</v>
      </c>
      <c r="F15" s="381" t="str">
        <f>'IV. Data Inputs-PE'!B99</f>
        <v>Population 4</v>
      </c>
      <c r="G15" s="381" t="str">
        <f>'IV. Data Inputs-PE'!B100</f>
        <v>Population 5</v>
      </c>
      <c r="H15" s="381" t="str">
        <f>'IV. Data Inputs-PE'!B101</f>
        <v>Population 6</v>
      </c>
      <c r="I15" s="381" t="str">
        <f>'IV. Data Inputs-PE'!B102</f>
        <v>Population 7</v>
      </c>
      <c r="J15" s="381" t="str">
        <f>'IV. Data Inputs-PE'!B103</f>
        <v>Population 8</v>
      </c>
      <c r="K15" s="381" t="str">
        <f>'IV. Data Inputs-PE'!B104</f>
        <v>Population 9</v>
      </c>
      <c r="L15" s="381" t="str">
        <f>'IV. Data Inputs-PE'!B105</f>
        <v>Population 10</v>
      </c>
      <c r="M15" s="4" t="s">
        <v>457</v>
      </c>
    </row>
    <row r="16" spans="2:13" x14ac:dyDescent="0.25">
      <c r="B16" s="312" t="str">
        <f>'III. Data Inputs-BE'!$B$33</f>
        <v>January</v>
      </c>
      <c r="C16" s="486">
        <f>IFERROR(VLOOKUP(C$15, 'IV. Data Inputs-PE'!$B$96:$D$105, 3, FALSE)*INDEX('III. Data Inputs-BE'!$B$69:$L$81, MATCH('X. PE CH4(ET)'!$B16, 'III. Data Inputs-BE'!$B$69:$B$81, 0), MATCH('X. PE CH4(ET)'!C$15, 'III. Data Inputs-BE'!$B$69:$L$69,0))*VLOOKUP('X. PE CH4(ET)'!C$15, 'III. Data Inputs-BE'!$B$93:$D$102, 3, FALSE)*0.3, "")</f>
        <v>0</v>
      </c>
      <c r="D16" s="486">
        <f>IFERROR(VLOOKUP(D$15, 'IV. Data Inputs-PE'!$B$96:$D$105, 3, FALSE)*INDEX('III. Data Inputs-BE'!$B$69:$L$81, MATCH('X. PE CH4(ET)'!$B16, 'III. Data Inputs-BE'!$B$69:$B$81, 0), MATCH('X. PE CH4(ET)'!D$15, 'III. Data Inputs-BE'!$B$69:$L$69,0))*VLOOKUP('X. PE CH4(ET)'!D$15, 'III. Data Inputs-BE'!$B$93:$D$102, 3, FALSE)*0.3, "")</f>
        <v>0</v>
      </c>
      <c r="E16" s="486">
        <f>IFERROR(VLOOKUP(E$15, 'IV. Data Inputs-PE'!$B$96:$D$105, 3, FALSE)*INDEX('III. Data Inputs-BE'!$B$69:$L$81, MATCH('X. PE CH4(ET)'!$B16, 'III. Data Inputs-BE'!$B$69:$B$81, 0), MATCH('X. PE CH4(ET)'!E$15, 'III. Data Inputs-BE'!$B$69:$L$69,0))*VLOOKUP('X. PE CH4(ET)'!E$15, 'III. Data Inputs-BE'!$B$93:$D$102, 3, FALSE)*0.3, "")</f>
        <v>0</v>
      </c>
      <c r="F16" s="486">
        <f>IFERROR(VLOOKUP(F$15, 'IV. Data Inputs-PE'!$B$96:$D$105, 3, FALSE)*INDEX('III. Data Inputs-BE'!$B$69:$L$81, MATCH('X. PE CH4(ET)'!$B16, 'III. Data Inputs-BE'!$B$69:$B$81, 0), MATCH('X. PE CH4(ET)'!F$15, 'III. Data Inputs-BE'!$B$69:$L$69,0))*VLOOKUP('X. PE CH4(ET)'!F$15, 'III. Data Inputs-BE'!$B$93:$D$102, 3, FALSE)*0.3, "")</f>
        <v>0</v>
      </c>
      <c r="G16" s="486">
        <f>IFERROR(VLOOKUP(G$15, 'IV. Data Inputs-PE'!$B$96:$D$105, 3, FALSE)*INDEX('III. Data Inputs-BE'!$B$69:$L$81, MATCH('X. PE CH4(ET)'!$B16, 'III. Data Inputs-BE'!$B$69:$B$81, 0), MATCH('X. PE CH4(ET)'!G$15, 'III. Data Inputs-BE'!$B$69:$L$69,0))*VLOOKUP('X. PE CH4(ET)'!G$15, 'III. Data Inputs-BE'!$B$93:$D$102, 3, FALSE)*0.3, "")</f>
        <v>0</v>
      </c>
      <c r="H16" s="486">
        <f>IFERROR(VLOOKUP(H$15, 'IV. Data Inputs-PE'!$B$96:$D$105, 3, FALSE)*INDEX('III. Data Inputs-BE'!$B$69:$L$81, MATCH('X. PE CH4(ET)'!$B16, 'III. Data Inputs-BE'!$B$69:$B$81, 0), MATCH('X. PE CH4(ET)'!H$15, 'III. Data Inputs-BE'!$B$69:$L$69,0))*VLOOKUP('X. PE CH4(ET)'!H$15, 'III. Data Inputs-BE'!$B$93:$D$102, 3, FALSE)*0.3, "")</f>
        <v>0</v>
      </c>
      <c r="I16" s="486">
        <f>IFERROR(VLOOKUP(I$15, 'IV. Data Inputs-PE'!$B$96:$D$105, 3, FALSE)*INDEX('III. Data Inputs-BE'!$B$69:$L$81, MATCH('X. PE CH4(ET)'!$B16, 'III. Data Inputs-BE'!$B$69:$B$81, 0), MATCH('X. PE CH4(ET)'!I$15, 'III. Data Inputs-BE'!$B$69:$L$69,0))*VLOOKUP('X. PE CH4(ET)'!I$15, 'III. Data Inputs-BE'!$B$93:$D$102, 3, FALSE)*0.3, "")</f>
        <v>0</v>
      </c>
      <c r="J16" s="486">
        <f>IFERROR(VLOOKUP(J$15, 'IV. Data Inputs-PE'!$B$96:$D$105, 3, FALSE)*INDEX('III. Data Inputs-BE'!$B$69:$L$81, MATCH('X. PE CH4(ET)'!$B16, 'III. Data Inputs-BE'!$B$69:$B$81, 0), MATCH('X. PE CH4(ET)'!J$15, 'III. Data Inputs-BE'!$B$69:$L$69,0))*VLOOKUP('X. PE CH4(ET)'!J$15, 'III. Data Inputs-BE'!$B$93:$D$102, 3, FALSE)*0.3, "")</f>
        <v>0</v>
      </c>
      <c r="K16" s="486">
        <f>IFERROR(VLOOKUP(K$15, 'IV. Data Inputs-PE'!$B$96:$D$105, 3, FALSE)*INDEX('III. Data Inputs-BE'!$B$69:$L$81, MATCH('X. PE CH4(ET)'!$B16, 'III. Data Inputs-BE'!$B$69:$B$81, 0), MATCH('X. PE CH4(ET)'!K$15, 'III. Data Inputs-BE'!$B$69:$L$69,0))*VLOOKUP('X. PE CH4(ET)'!K$15, 'III. Data Inputs-BE'!$B$93:$D$102, 3, FALSE)*0.3, "")</f>
        <v>0</v>
      </c>
      <c r="L16" s="486">
        <f>IFERROR(VLOOKUP(L$15, 'IV. Data Inputs-PE'!$B$96:$D$105, 3, FALSE)*INDEX('III. Data Inputs-BE'!$B$69:$L$81, MATCH('X. PE CH4(ET)'!$B16, 'III. Data Inputs-BE'!$B$69:$B$81, 0), MATCH('X. PE CH4(ET)'!L$15, 'III. Data Inputs-BE'!$B$69:$L$69,0))*VLOOKUP('X. PE CH4(ET)'!L$15, 'III. Data Inputs-BE'!$B$93:$D$102, 3, FALSE)*0.3, "")</f>
        <v>0</v>
      </c>
      <c r="M16" s="486">
        <f>IFERROR(SUM(C16:L16), "")</f>
        <v>0</v>
      </c>
    </row>
    <row r="17" spans="2:13" x14ac:dyDescent="0.25">
      <c r="B17" s="312" t="str">
        <f>'III. Data Inputs-BE'!$B$34</f>
        <v>February</v>
      </c>
      <c r="C17" s="486">
        <f>IFERROR(VLOOKUP(C$15, 'IV. Data Inputs-PE'!$B$96:$D$105, 3, FALSE)*INDEX('III. Data Inputs-BE'!$B$69:$L$81, MATCH('X. PE CH4(ET)'!$B17, 'III. Data Inputs-BE'!$B$69:$B$81, 0), MATCH('X. PE CH4(ET)'!C$15, 'III. Data Inputs-BE'!$B$69:$L$69,0))*VLOOKUP('X. PE CH4(ET)'!C$15, 'III. Data Inputs-BE'!$B$93:$D$102, 3, FALSE)*0.3, "")</f>
        <v>0</v>
      </c>
      <c r="D17" s="486">
        <f>IFERROR(VLOOKUP(D$15, 'IV. Data Inputs-PE'!$B$96:$D$105, 3, FALSE)*INDEX('III. Data Inputs-BE'!$B$69:$L$81, MATCH('X. PE CH4(ET)'!$B17, 'III. Data Inputs-BE'!$B$69:$B$81, 0), MATCH('X. PE CH4(ET)'!D$15, 'III. Data Inputs-BE'!$B$69:$L$69,0))*VLOOKUP('X. PE CH4(ET)'!D$15, 'III. Data Inputs-BE'!$B$93:$D$102, 3, FALSE)*0.3, "")</f>
        <v>0</v>
      </c>
      <c r="E17" s="486">
        <f>IFERROR(VLOOKUP(E$15, 'IV. Data Inputs-PE'!$B$96:$D$105, 3, FALSE)*INDEX('III. Data Inputs-BE'!$B$69:$L$81, MATCH('X. PE CH4(ET)'!$B17, 'III. Data Inputs-BE'!$B$69:$B$81, 0), MATCH('X. PE CH4(ET)'!E$15, 'III. Data Inputs-BE'!$B$69:$L$69,0))*VLOOKUP('X. PE CH4(ET)'!E$15, 'III. Data Inputs-BE'!$B$93:$D$102, 3, FALSE)*0.3, "")</f>
        <v>0</v>
      </c>
      <c r="F17" s="486">
        <f>IFERROR(VLOOKUP(F$15, 'IV. Data Inputs-PE'!$B$96:$D$105, 3, FALSE)*INDEX('III. Data Inputs-BE'!$B$69:$L$81, MATCH('X. PE CH4(ET)'!$B17, 'III. Data Inputs-BE'!$B$69:$B$81, 0), MATCH('X. PE CH4(ET)'!F$15, 'III. Data Inputs-BE'!$B$69:$L$69,0))*VLOOKUP('X. PE CH4(ET)'!F$15, 'III. Data Inputs-BE'!$B$93:$D$102, 3, FALSE)*0.3, "")</f>
        <v>0</v>
      </c>
      <c r="G17" s="486">
        <f>IFERROR(VLOOKUP(G$15, 'IV. Data Inputs-PE'!$B$96:$D$105, 3, FALSE)*INDEX('III. Data Inputs-BE'!$B$69:$L$81, MATCH('X. PE CH4(ET)'!$B17, 'III. Data Inputs-BE'!$B$69:$B$81, 0), MATCH('X. PE CH4(ET)'!G$15, 'III. Data Inputs-BE'!$B$69:$L$69,0))*VLOOKUP('X. PE CH4(ET)'!G$15, 'III. Data Inputs-BE'!$B$93:$D$102, 3, FALSE)*0.3, "")</f>
        <v>0</v>
      </c>
      <c r="H17" s="486">
        <f>IFERROR(VLOOKUP(H$15, 'IV. Data Inputs-PE'!$B$96:$D$105, 3, FALSE)*INDEX('III. Data Inputs-BE'!$B$69:$L$81, MATCH('X. PE CH4(ET)'!$B17, 'III. Data Inputs-BE'!$B$69:$B$81, 0), MATCH('X. PE CH4(ET)'!H$15, 'III. Data Inputs-BE'!$B$69:$L$69,0))*VLOOKUP('X. PE CH4(ET)'!H$15, 'III. Data Inputs-BE'!$B$93:$D$102, 3, FALSE)*0.3, "")</f>
        <v>0</v>
      </c>
      <c r="I17" s="486">
        <f>IFERROR(VLOOKUP(I$15, 'IV. Data Inputs-PE'!$B$96:$D$105, 3, FALSE)*INDEX('III. Data Inputs-BE'!$B$69:$L$81, MATCH('X. PE CH4(ET)'!$B17, 'III. Data Inputs-BE'!$B$69:$B$81, 0), MATCH('X. PE CH4(ET)'!I$15, 'III. Data Inputs-BE'!$B$69:$L$69,0))*VLOOKUP('X. PE CH4(ET)'!I$15, 'III. Data Inputs-BE'!$B$93:$D$102, 3, FALSE)*0.3, "")</f>
        <v>0</v>
      </c>
      <c r="J17" s="486">
        <f>IFERROR(VLOOKUP(J$15, 'IV. Data Inputs-PE'!$B$96:$D$105, 3, FALSE)*INDEX('III. Data Inputs-BE'!$B$69:$L$81, MATCH('X. PE CH4(ET)'!$B17, 'III. Data Inputs-BE'!$B$69:$B$81, 0), MATCH('X. PE CH4(ET)'!J$15, 'III. Data Inputs-BE'!$B$69:$L$69,0))*VLOOKUP('X. PE CH4(ET)'!J$15, 'III. Data Inputs-BE'!$B$93:$D$102, 3, FALSE)*0.3, "")</f>
        <v>0</v>
      </c>
      <c r="K17" s="486">
        <f>IFERROR(VLOOKUP(K$15, 'IV. Data Inputs-PE'!$B$96:$D$105, 3, FALSE)*INDEX('III. Data Inputs-BE'!$B$69:$L$81, MATCH('X. PE CH4(ET)'!$B17, 'III. Data Inputs-BE'!$B$69:$B$81, 0), MATCH('X. PE CH4(ET)'!K$15, 'III. Data Inputs-BE'!$B$69:$L$69,0))*VLOOKUP('X. PE CH4(ET)'!K$15, 'III. Data Inputs-BE'!$B$93:$D$102, 3, FALSE)*0.3, "")</f>
        <v>0</v>
      </c>
      <c r="L17" s="486">
        <f>IFERROR(VLOOKUP(L$15, 'IV. Data Inputs-PE'!$B$96:$D$105, 3, FALSE)*INDEX('III. Data Inputs-BE'!$B$69:$L$81, MATCH('X. PE CH4(ET)'!$B17, 'III. Data Inputs-BE'!$B$69:$B$81, 0), MATCH('X. PE CH4(ET)'!L$15, 'III. Data Inputs-BE'!$B$69:$L$69,0))*VLOOKUP('X. PE CH4(ET)'!L$15, 'III. Data Inputs-BE'!$B$93:$D$102, 3, FALSE)*0.3, "")</f>
        <v>0</v>
      </c>
      <c r="M17" s="486">
        <f t="shared" ref="M17:M27" si="0">IFERROR(SUM(C17:L17), "")</f>
        <v>0</v>
      </c>
    </row>
    <row r="18" spans="2:13" x14ac:dyDescent="0.25">
      <c r="B18" s="312" t="str">
        <f>'III. Data Inputs-BE'!$B$35</f>
        <v>March</v>
      </c>
      <c r="C18" s="486">
        <f>IFERROR(VLOOKUP(C$15, 'IV. Data Inputs-PE'!$B$96:$D$105, 3, FALSE)*INDEX('III. Data Inputs-BE'!$B$69:$L$81, MATCH('X. PE CH4(ET)'!$B18, 'III. Data Inputs-BE'!$B$69:$B$81, 0), MATCH('X. PE CH4(ET)'!C$15, 'III. Data Inputs-BE'!$B$69:$L$69,0))*VLOOKUP('X. PE CH4(ET)'!C$15, 'III. Data Inputs-BE'!$B$93:$D$102, 3, FALSE)*0.3, "")</f>
        <v>0</v>
      </c>
      <c r="D18" s="486">
        <f>IFERROR(VLOOKUP(D$15, 'IV. Data Inputs-PE'!$B$96:$D$105, 3, FALSE)*INDEX('III. Data Inputs-BE'!$B$69:$L$81, MATCH('X. PE CH4(ET)'!$B18, 'III. Data Inputs-BE'!$B$69:$B$81, 0), MATCH('X. PE CH4(ET)'!D$15, 'III. Data Inputs-BE'!$B$69:$L$69,0))*VLOOKUP('X. PE CH4(ET)'!D$15, 'III. Data Inputs-BE'!$B$93:$D$102, 3, FALSE)*0.3, "")</f>
        <v>0</v>
      </c>
      <c r="E18" s="486">
        <f>IFERROR(VLOOKUP(E$15, 'IV. Data Inputs-PE'!$B$96:$D$105, 3, FALSE)*INDEX('III. Data Inputs-BE'!$B$69:$L$81, MATCH('X. PE CH4(ET)'!$B18, 'III. Data Inputs-BE'!$B$69:$B$81, 0), MATCH('X. PE CH4(ET)'!E$15, 'III. Data Inputs-BE'!$B$69:$L$69,0))*VLOOKUP('X. PE CH4(ET)'!E$15, 'III. Data Inputs-BE'!$B$93:$D$102, 3, FALSE)*0.3, "")</f>
        <v>0</v>
      </c>
      <c r="F18" s="486">
        <f>IFERROR(VLOOKUP(F$15, 'IV. Data Inputs-PE'!$B$96:$D$105, 3, FALSE)*INDEX('III. Data Inputs-BE'!$B$69:$L$81, MATCH('X. PE CH4(ET)'!$B18, 'III. Data Inputs-BE'!$B$69:$B$81, 0), MATCH('X. PE CH4(ET)'!F$15, 'III. Data Inputs-BE'!$B$69:$L$69,0))*VLOOKUP('X. PE CH4(ET)'!F$15, 'III. Data Inputs-BE'!$B$93:$D$102, 3, FALSE)*0.3, "")</f>
        <v>0</v>
      </c>
      <c r="G18" s="486">
        <f>IFERROR(VLOOKUP(G$15, 'IV. Data Inputs-PE'!$B$96:$D$105, 3, FALSE)*INDEX('III. Data Inputs-BE'!$B$69:$L$81, MATCH('X. PE CH4(ET)'!$B18, 'III. Data Inputs-BE'!$B$69:$B$81, 0), MATCH('X. PE CH4(ET)'!G$15, 'III. Data Inputs-BE'!$B$69:$L$69,0))*VLOOKUP('X. PE CH4(ET)'!G$15, 'III. Data Inputs-BE'!$B$93:$D$102, 3, FALSE)*0.3, "")</f>
        <v>0</v>
      </c>
      <c r="H18" s="486">
        <f>IFERROR(VLOOKUP(H$15, 'IV. Data Inputs-PE'!$B$96:$D$105, 3, FALSE)*INDEX('III. Data Inputs-BE'!$B$69:$L$81, MATCH('X. PE CH4(ET)'!$B18, 'III. Data Inputs-BE'!$B$69:$B$81, 0), MATCH('X. PE CH4(ET)'!H$15, 'III. Data Inputs-BE'!$B$69:$L$69,0))*VLOOKUP('X. PE CH4(ET)'!H$15, 'III. Data Inputs-BE'!$B$93:$D$102, 3, FALSE)*0.3, "")</f>
        <v>0</v>
      </c>
      <c r="I18" s="486">
        <f>IFERROR(VLOOKUP(I$15, 'IV. Data Inputs-PE'!$B$96:$D$105, 3, FALSE)*INDEX('III. Data Inputs-BE'!$B$69:$L$81, MATCH('X. PE CH4(ET)'!$B18, 'III. Data Inputs-BE'!$B$69:$B$81, 0), MATCH('X. PE CH4(ET)'!I$15, 'III. Data Inputs-BE'!$B$69:$L$69,0))*VLOOKUP('X. PE CH4(ET)'!I$15, 'III. Data Inputs-BE'!$B$93:$D$102, 3, FALSE)*0.3, "")</f>
        <v>0</v>
      </c>
      <c r="J18" s="486">
        <f>IFERROR(VLOOKUP(J$15, 'IV. Data Inputs-PE'!$B$96:$D$105, 3, FALSE)*INDEX('III. Data Inputs-BE'!$B$69:$L$81, MATCH('X. PE CH4(ET)'!$B18, 'III. Data Inputs-BE'!$B$69:$B$81, 0), MATCH('X. PE CH4(ET)'!J$15, 'III. Data Inputs-BE'!$B$69:$L$69,0))*VLOOKUP('X. PE CH4(ET)'!J$15, 'III. Data Inputs-BE'!$B$93:$D$102, 3, FALSE)*0.3, "")</f>
        <v>0</v>
      </c>
      <c r="K18" s="486">
        <f>IFERROR(VLOOKUP(K$15, 'IV. Data Inputs-PE'!$B$96:$D$105, 3, FALSE)*INDEX('III. Data Inputs-BE'!$B$69:$L$81, MATCH('X. PE CH4(ET)'!$B18, 'III. Data Inputs-BE'!$B$69:$B$81, 0), MATCH('X. PE CH4(ET)'!K$15, 'III. Data Inputs-BE'!$B$69:$L$69,0))*VLOOKUP('X. PE CH4(ET)'!K$15, 'III. Data Inputs-BE'!$B$93:$D$102, 3, FALSE)*0.3, "")</f>
        <v>0</v>
      </c>
      <c r="L18" s="486">
        <f>IFERROR(VLOOKUP(L$15, 'IV. Data Inputs-PE'!$B$96:$D$105, 3, FALSE)*INDEX('III. Data Inputs-BE'!$B$69:$L$81, MATCH('X. PE CH4(ET)'!$B18, 'III. Data Inputs-BE'!$B$69:$B$81, 0), MATCH('X. PE CH4(ET)'!L$15, 'III. Data Inputs-BE'!$B$69:$L$69,0))*VLOOKUP('X. PE CH4(ET)'!L$15, 'III. Data Inputs-BE'!$B$93:$D$102, 3, FALSE)*0.3, "")</f>
        <v>0</v>
      </c>
      <c r="M18" s="486">
        <f t="shared" si="0"/>
        <v>0</v>
      </c>
    </row>
    <row r="19" spans="2:13" x14ac:dyDescent="0.25">
      <c r="B19" s="312" t="str">
        <f>'III. Data Inputs-BE'!$B$36</f>
        <v>April</v>
      </c>
      <c r="C19" s="486">
        <f>IFERROR(VLOOKUP(C$15, 'IV. Data Inputs-PE'!$B$96:$D$105, 3, FALSE)*INDEX('III. Data Inputs-BE'!$B$69:$L$81, MATCH('X. PE CH4(ET)'!$B19, 'III. Data Inputs-BE'!$B$69:$B$81, 0), MATCH('X. PE CH4(ET)'!C$15, 'III. Data Inputs-BE'!$B$69:$L$69,0))*VLOOKUP('X. PE CH4(ET)'!C$15, 'III. Data Inputs-BE'!$B$93:$D$102, 3, FALSE)*0.3, "")</f>
        <v>0</v>
      </c>
      <c r="D19" s="486">
        <f>IFERROR(VLOOKUP(D$15, 'IV. Data Inputs-PE'!$B$96:$D$105, 3, FALSE)*INDEX('III. Data Inputs-BE'!$B$69:$L$81, MATCH('X. PE CH4(ET)'!$B19, 'III. Data Inputs-BE'!$B$69:$B$81, 0), MATCH('X. PE CH4(ET)'!D$15, 'III. Data Inputs-BE'!$B$69:$L$69,0))*VLOOKUP('X. PE CH4(ET)'!D$15, 'III. Data Inputs-BE'!$B$93:$D$102, 3, FALSE)*0.3, "")</f>
        <v>0</v>
      </c>
      <c r="E19" s="486">
        <f>IFERROR(VLOOKUP(E$15, 'IV. Data Inputs-PE'!$B$96:$D$105, 3, FALSE)*INDEX('III. Data Inputs-BE'!$B$69:$L$81, MATCH('X. PE CH4(ET)'!$B19, 'III. Data Inputs-BE'!$B$69:$B$81, 0), MATCH('X. PE CH4(ET)'!E$15, 'III. Data Inputs-BE'!$B$69:$L$69,0))*VLOOKUP('X. PE CH4(ET)'!E$15, 'III. Data Inputs-BE'!$B$93:$D$102, 3, FALSE)*0.3, "")</f>
        <v>0</v>
      </c>
      <c r="F19" s="486">
        <f>IFERROR(VLOOKUP(F$15, 'IV. Data Inputs-PE'!$B$96:$D$105, 3, FALSE)*INDEX('III. Data Inputs-BE'!$B$69:$L$81, MATCH('X. PE CH4(ET)'!$B19, 'III. Data Inputs-BE'!$B$69:$B$81, 0), MATCH('X. PE CH4(ET)'!F$15, 'III. Data Inputs-BE'!$B$69:$L$69,0))*VLOOKUP('X. PE CH4(ET)'!F$15, 'III. Data Inputs-BE'!$B$93:$D$102, 3, FALSE)*0.3, "")</f>
        <v>0</v>
      </c>
      <c r="G19" s="486">
        <f>IFERROR(VLOOKUP(G$15, 'IV. Data Inputs-PE'!$B$96:$D$105, 3, FALSE)*INDEX('III. Data Inputs-BE'!$B$69:$L$81, MATCH('X. PE CH4(ET)'!$B19, 'III. Data Inputs-BE'!$B$69:$B$81, 0), MATCH('X. PE CH4(ET)'!G$15, 'III. Data Inputs-BE'!$B$69:$L$69,0))*VLOOKUP('X. PE CH4(ET)'!G$15, 'III. Data Inputs-BE'!$B$93:$D$102, 3, FALSE)*0.3, "")</f>
        <v>0</v>
      </c>
      <c r="H19" s="486">
        <f>IFERROR(VLOOKUP(H$15, 'IV. Data Inputs-PE'!$B$96:$D$105, 3, FALSE)*INDEX('III. Data Inputs-BE'!$B$69:$L$81, MATCH('X. PE CH4(ET)'!$B19, 'III. Data Inputs-BE'!$B$69:$B$81, 0), MATCH('X. PE CH4(ET)'!H$15, 'III. Data Inputs-BE'!$B$69:$L$69,0))*VLOOKUP('X. PE CH4(ET)'!H$15, 'III. Data Inputs-BE'!$B$93:$D$102, 3, FALSE)*0.3, "")</f>
        <v>0</v>
      </c>
      <c r="I19" s="486">
        <f>IFERROR(VLOOKUP(I$15, 'IV. Data Inputs-PE'!$B$96:$D$105, 3, FALSE)*INDEX('III. Data Inputs-BE'!$B$69:$L$81, MATCH('X. PE CH4(ET)'!$B19, 'III. Data Inputs-BE'!$B$69:$B$81, 0), MATCH('X. PE CH4(ET)'!I$15, 'III. Data Inputs-BE'!$B$69:$L$69,0))*VLOOKUP('X. PE CH4(ET)'!I$15, 'III. Data Inputs-BE'!$B$93:$D$102, 3, FALSE)*0.3, "")</f>
        <v>0</v>
      </c>
      <c r="J19" s="486">
        <f>IFERROR(VLOOKUP(J$15, 'IV. Data Inputs-PE'!$B$96:$D$105, 3, FALSE)*INDEX('III. Data Inputs-BE'!$B$69:$L$81, MATCH('X. PE CH4(ET)'!$B19, 'III. Data Inputs-BE'!$B$69:$B$81, 0), MATCH('X. PE CH4(ET)'!J$15, 'III. Data Inputs-BE'!$B$69:$L$69,0))*VLOOKUP('X. PE CH4(ET)'!J$15, 'III. Data Inputs-BE'!$B$93:$D$102, 3, FALSE)*0.3, "")</f>
        <v>0</v>
      </c>
      <c r="K19" s="486">
        <f>IFERROR(VLOOKUP(K$15, 'IV. Data Inputs-PE'!$B$96:$D$105, 3, FALSE)*INDEX('III. Data Inputs-BE'!$B$69:$L$81, MATCH('X. PE CH4(ET)'!$B19, 'III. Data Inputs-BE'!$B$69:$B$81, 0), MATCH('X. PE CH4(ET)'!K$15, 'III. Data Inputs-BE'!$B$69:$L$69,0))*VLOOKUP('X. PE CH4(ET)'!K$15, 'III. Data Inputs-BE'!$B$93:$D$102, 3, FALSE)*0.3, "")</f>
        <v>0</v>
      </c>
      <c r="L19" s="486">
        <f>IFERROR(VLOOKUP(L$15, 'IV. Data Inputs-PE'!$B$96:$D$105, 3, FALSE)*INDEX('III. Data Inputs-BE'!$B$69:$L$81, MATCH('X. PE CH4(ET)'!$B19, 'III. Data Inputs-BE'!$B$69:$B$81, 0), MATCH('X. PE CH4(ET)'!L$15, 'III. Data Inputs-BE'!$B$69:$L$69,0))*VLOOKUP('X. PE CH4(ET)'!L$15, 'III. Data Inputs-BE'!$B$93:$D$102, 3, FALSE)*0.3, "")</f>
        <v>0</v>
      </c>
      <c r="M19" s="486">
        <f t="shared" si="0"/>
        <v>0</v>
      </c>
    </row>
    <row r="20" spans="2:13" x14ac:dyDescent="0.25">
      <c r="B20" s="312" t="str">
        <f>'III. Data Inputs-BE'!$B$37</f>
        <v>May</v>
      </c>
      <c r="C20" s="486">
        <f>IFERROR(VLOOKUP(C$15, 'IV. Data Inputs-PE'!$B$96:$D$105, 3, FALSE)*INDEX('III. Data Inputs-BE'!$B$69:$L$81, MATCH('X. PE CH4(ET)'!$B20, 'III. Data Inputs-BE'!$B$69:$B$81, 0), MATCH('X. PE CH4(ET)'!C$15, 'III. Data Inputs-BE'!$B$69:$L$69,0))*VLOOKUP('X. PE CH4(ET)'!C$15, 'III. Data Inputs-BE'!$B$93:$D$102, 3, FALSE)*0.3, "")</f>
        <v>0</v>
      </c>
      <c r="D20" s="486">
        <f>IFERROR(VLOOKUP(D$15, 'IV. Data Inputs-PE'!$B$96:$D$105, 3, FALSE)*INDEX('III. Data Inputs-BE'!$B$69:$L$81, MATCH('X. PE CH4(ET)'!$B20, 'III. Data Inputs-BE'!$B$69:$B$81, 0), MATCH('X. PE CH4(ET)'!D$15, 'III. Data Inputs-BE'!$B$69:$L$69,0))*VLOOKUP('X. PE CH4(ET)'!D$15, 'III. Data Inputs-BE'!$B$93:$D$102, 3, FALSE)*0.3, "")</f>
        <v>0</v>
      </c>
      <c r="E20" s="486">
        <f>IFERROR(VLOOKUP(E$15, 'IV. Data Inputs-PE'!$B$96:$D$105, 3, FALSE)*INDEX('III. Data Inputs-BE'!$B$69:$L$81, MATCH('X. PE CH4(ET)'!$B20, 'III. Data Inputs-BE'!$B$69:$B$81, 0), MATCH('X. PE CH4(ET)'!E$15, 'III. Data Inputs-BE'!$B$69:$L$69,0))*VLOOKUP('X. PE CH4(ET)'!E$15, 'III. Data Inputs-BE'!$B$93:$D$102, 3, FALSE)*0.3, "")</f>
        <v>0</v>
      </c>
      <c r="F20" s="486">
        <f>IFERROR(VLOOKUP(F$15, 'IV. Data Inputs-PE'!$B$96:$D$105, 3, FALSE)*INDEX('III. Data Inputs-BE'!$B$69:$L$81, MATCH('X. PE CH4(ET)'!$B20, 'III. Data Inputs-BE'!$B$69:$B$81, 0), MATCH('X. PE CH4(ET)'!F$15, 'III. Data Inputs-BE'!$B$69:$L$69,0))*VLOOKUP('X. PE CH4(ET)'!F$15, 'III. Data Inputs-BE'!$B$93:$D$102, 3, FALSE)*0.3, "")</f>
        <v>0</v>
      </c>
      <c r="G20" s="486">
        <f>IFERROR(VLOOKUP(G$15, 'IV. Data Inputs-PE'!$B$96:$D$105, 3, FALSE)*INDEX('III. Data Inputs-BE'!$B$69:$L$81, MATCH('X. PE CH4(ET)'!$B20, 'III. Data Inputs-BE'!$B$69:$B$81, 0), MATCH('X. PE CH4(ET)'!G$15, 'III. Data Inputs-BE'!$B$69:$L$69,0))*VLOOKUP('X. PE CH4(ET)'!G$15, 'III. Data Inputs-BE'!$B$93:$D$102, 3, FALSE)*0.3, "")</f>
        <v>0</v>
      </c>
      <c r="H20" s="486">
        <f>IFERROR(VLOOKUP(H$15, 'IV. Data Inputs-PE'!$B$96:$D$105, 3, FALSE)*INDEX('III. Data Inputs-BE'!$B$69:$L$81, MATCH('X. PE CH4(ET)'!$B20, 'III. Data Inputs-BE'!$B$69:$B$81, 0), MATCH('X. PE CH4(ET)'!H$15, 'III. Data Inputs-BE'!$B$69:$L$69,0))*VLOOKUP('X. PE CH4(ET)'!H$15, 'III. Data Inputs-BE'!$B$93:$D$102, 3, FALSE)*0.3, "")</f>
        <v>0</v>
      </c>
      <c r="I20" s="486">
        <f>IFERROR(VLOOKUP(I$15, 'IV. Data Inputs-PE'!$B$96:$D$105, 3, FALSE)*INDEX('III. Data Inputs-BE'!$B$69:$L$81, MATCH('X. PE CH4(ET)'!$B20, 'III. Data Inputs-BE'!$B$69:$B$81, 0), MATCH('X. PE CH4(ET)'!I$15, 'III. Data Inputs-BE'!$B$69:$L$69,0))*VLOOKUP('X. PE CH4(ET)'!I$15, 'III. Data Inputs-BE'!$B$93:$D$102, 3, FALSE)*0.3, "")</f>
        <v>0</v>
      </c>
      <c r="J20" s="486">
        <f>IFERROR(VLOOKUP(J$15, 'IV. Data Inputs-PE'!$B$96:$D$105, 3, FALSE)*INDEX('III. Data Inputs-BE'!$B$69:$L$81, MATCH('X. PE CH4(ET)'!$B20, 'III. Data Inputs-BE'!$B$69:$B$81, 0), MATCH('X. PE CH4(ET)'!J$15, 'III. Data Inputs-BE'!$B$69:$L$69,0))*VLOOKUP('X. PE CH4(ET)'!J$15, 'III. Data Inputs-BE'!$B$93:$D$102, 3, FALSE)*0.3, "")</f>
        <v>0</v>
      </c>
      <c r="K20" s="486">
        <f>IFERROR(VLOOKUP(K$15, 'IV. Data Inputs-PE'!$B$96:$D$105, 3, FALSE)*INDEX('III. Data Inputs-BE'!$B$69:$L$81, MATCH('X. PE CH4(ET)'!$B20, 'III. Data Inputs-BE'!$B$69:$B$81, 0), MATCH('X. PE CH4(ET)'!K$15, 'III. Data Inputs-BE'!$B$69:$L$69,0))*VLOOKUP('X. PE CH4(ET)'!K$15, 'III. Data Inputs-BE'!$B$93:$D$102, 3, FALSE)*0.3, "")</f>
        <v>0</v>
      </c>
      <c r="L20" s="486">
        <f>IFERROR(VLOOKUP(L$15, 'IV. Data Inputs-PE'!$B$96:$D$105, 3, FALSE)*INDEX('III. Data Inputs-BE'!$B$69:$L$81, MATCH('X. PE CH4(ET)'!$B20, 'III. Data Inputs-BE'!$B$69:$B$81, 0), MATCH('X. PE CH4(ET)'!L$15, 'III. Data Inputs-BE'!$B$69:$L$69,0))*VLOOKUP('X. PE CH4(ET)'!L$15, 'III. Data Inputs-BE'!$B$93:$D$102, 3, FALSE)*0.3, "")</f>
        <v>0</v>
      </c>
      <c r="M20" s="486">
        <f t="shared" si="0"/>
        <v>0</v>
      </c>
    </row>
    <row r="21" spans="2:13" x14ac:dyDescent="0.25">
      <c r="B21" s="312" t="str">
        <f>'III. Data Inputs-BE'!$B$38</f>
        <v>June</v>
      </c>
      <c r="C21" s="486">
        <f>IFERROR(VLOOKUP(C$15, 'IV. Data Inputs-PE'!$B$96:$D$105, 3, FALSE)*INDEX('III. Data Inputs-BE'!$B$69:$L$81, MATCH('X. PE CH4(ET)'!$B21, 'III. Data Inputs-BE'!$B$69:$B$81, 0), MATCH('X. PE CH4(ET)'!C$15, 'III. Data Inputs-BE'!$B$69:$L$69,0))*VLOOKUP('X. PE CH4(ET)'!C$15, 'III. Data Inputs-BE'!$B$93:$D$102, 3, FALSE)*0.3, "")</f>
        <v>0</v>
      </c>
      <c r="D21" s="486">
        <f>IFERROR(VLOOKUP(D$15, 'IV. Data Inputs-PE'!$B$96:$D$105, 3, FALSE)*INDEX('III. Data Inputs-BE'!$B$69:$L$81, MATCH('X. PE CH4(ET)'!$B21, 'III. Data Inputs-BE'!$B$69:$B$81, 0), MATCH('X. PE CH4(ET)'!D$15, 'III. Data Inputs-BE'!$B$69:$L$69,0))*VLOOKUP('X. PE CH4(ET)'!D$15, 'III. Data Inputs-BE'!$B$93:$D$102, 3, FALSE)*0.3, "")</f>
        <v>0</v>
      </c>
      <c r="E21" s="486">
        <f>IFERROR(VLOOKUP(E$15, 'IV. Data Inputs-PE'!$B$96:$D$105, 3, FALSE)*INDEX('III. Data Inputs-BE'!$B$69:$L$81, MATCH('X. PE CH4(ET)'!$B21, 'III. Data Inputs-BE'!$B$69:$B$81, 0), MATCH('X. PE CH4(ET)'!E$15, 'III. Data Inputs-BE'!$B$69:$L$69,0))*VLOOKUP('X. PE CH4(ET)'!E$15, 'III. Data Inputs-BE'!$B$93:$D$102, 3, FALSE)*0.3, "")</f>
        <v>0</v>
      </c>
      <c r="F21" s="486">
        <f>IFERROR(VLOOKUP(F$15, 'IV. Data Inputs-PE'!$B$96:$D$105, 3, FALSE)*INDEX('III. Data Inputs-BE'!$B$69:$L$81, MATCH('X. PE CH4(ET)'!$B21, 'III. Data Inputs-BE'!$B$69:$B$81, 0), MATCH('X. PE CH4(ET)'!F$15, 'III. Data Inputs-BE'!$B$69:$L$69,0))*VLOOKUP('X. PE CH4(ET)'!F$15, 'III. Data Inputs-BE'!$B$93:$D$102, 3, FALSE)*0.3, "")</f>
        <v>0</v>
      </c>
      <c r="G21" s="486">
        <f>IFERROR(VLOOKUP(G$15, 'IV. Data Inputs-PE'!$B$96:$D$105, 3, FALSE)*INDEX('III. Data Inputs-BE'!$B$69:$L$81, MATCH('X. PE CH4(ET)'!$B21, 'III. Data Inputs-BE'!$B$69:$B$81, 0), MATCH('X. PE CH4(ET)'!G$15, 'III. Data Inputs-BE'!$B$69:$L$69,0))*VLOOKUP('X. PE CH4(ET)'!G$15, 'III. Data Inputs-BE'!$B$93:$D$102, 3, FALSE)*0.3, "")</f>
        <v>0</v>
      </c>
      <c r="H21" s="486">
        <f>IFERROR(VLOOKUP(H$15, 'IV. Data Inputs-PE'!$B$96:$D$105, 3, FALSE)*INDEX('III. Data Inputs-BE'!$B$69:$L$81, MATCH('X. PE CH4(ET)'!$B21, 'III. Data Inputs-BE'!$B$69:$B$81, 0), MATCH('X. PE CH4(ET)'!H$15, 'III. Data Inputs-BE'!$B$69:$L$69,0))*VLOOKUP('X. PE CH4(ET)'!H$15, 'III. Data Inputs-BE'!$B$93:$D$102, 3, FALSE)*0.3, "")</f>
        <v>0</v>
      </c>
      <c r="I21" s="486">
        <f>IFERROR(VLOOKUP(I$15, 'IV. Data Inputs-PE'!$B$96:$D$105, 3, FALSE)*INDEX('III. Data Inputs-BE'!$B$69:$L$81, MATCH('X. PE CH4(ET)'!$B21, 'III. Data Inputs-BE'!$B$69:$B$81, 0), MATCH('X. PE CH4(ET)'!I$15, 'III. Data Inputs-BE'!$B$69:$L$69,0))*VLOOKUP('X. PE CH4(ET)'!I$15, 'III. Data Inputs-BE'!$B$93:$D$102, 3, FALSE)*0.3, "")</f>
        <v>0</v>
      </c>
      <c r="J21" s="486">
        <f>IFERROR(VLOOKUP(J$15, 'IV. Data Inputs-PE'!$B$96:$D$105, 3, FALSE)*INDEX('III. Data Inputs-BE'!$B$69:$L$81, MATCH('X. PE CH4(ET)'!$B21, 'III. Data Inputs-BE'!$B$69:$B$81, 0), MATCH('X. PE CH4(ET)'!J$15, 'III. Data Inputs-BE'!$B$69:$L$69,0))*VLOOKUP('X. PE CH4(ET)'!J$15, 'III. Data Inputs-BE'!$B$93:$D$102, 3, FALSE)*0.3, "")</f>
        <v>0</v>
      </c>
      <c r="K21" s="486">
        <f>IFERROR(VLOOKUP(K$15, 'IV. Data Inputs-PE'!$B$96:$D$105, 3, FALSE)*INDEX('III. Data Inputs-BE'!$B$69:$L$81, MATCH('X. PE CH4(ET)'!$B21, 'III. Data Inputs-BE'!$B$69:$B$81, 0), MATCH('X. PE CH4(ET)'!K$15, 'III. Data Inputs-BE'!$B$69:$L$69,0))*VLOOKUP('X. PE CH4(ET)'!K$15, 'III. Data Inputs-BE'!$B$93:$D$102, 3, FALSE)*0.3, "")</f>
        <v>0</v>
      </c>
      <c r="L21" s="486">
        <f>IFERROR(VLOOKUP(L$15, 'IV. Data Inputs-PE'!$B$96:$D$105, 3, FALSE)*INDEX('III. Data Inputs-BE'!$B$69:$L$81, MATCH('X. PE CH4(ET)'!$B21, 'III. Data Inputs-BE'!$B$69:$B$81, 0), MATCH('X. PE CH4(ET)'!L$15, 'III. Data Inputs-BE'!$B$69:$L$69,0))*VLOOKUP('X. PE CH4(ET)'!L$15, 'III. Data Inputs-BE'!$B$93:$D$102, 3, FALSE)*0.3, "")</f>
        <v>0</v>
      </c>
      <c r="M21" s="486">
        <f t="shared" si="0"/>
        <v>0</v>
      </c>
    </row>
    <row r="22" spans="2:13" x14ac:dyDescent="0.25">
      <c r="B22" s="312" t="str">
        <f>'III. Data Inputs-BE'!$B$39</f>
        <v>July</v>
      </c>
      <c r="C22" s="486">
        <f>IFERROR(VLOOKUP(C$15, 'IV. Data Inputs-PE'!$B$96:$D$105, 3, FALSE)*INDEX('III. Data Inputs-BE'!$B$69:$L$81, MATCH('X. PE CH4(ET)'!$B22, 'III. Data Inputs-BE'!$B$69:$B$81, 0), MATCH('X. PE CH4(ET)'!C$15, 'III. Data Inputs-BE'!$B$69:$L$69,0))*VLOOKUP('X. PE CH4(ET)'!C$15, 'III. Data Inputs-BE'!$B$93:$D$102, 3, FALSE)*0.3, "")</f>
        <v>0</v>
      </c>
      <c r="D22" s="486">
        <f>IFERROR(VLOOKUP(D$15, 'IV. Data Inputs-PE'!$B$96:$D$105, 3, FALSE)*INDEX('III. Data Inputs-BE'!$B$69:$L$81, MATCH('X. PE CH4(ET)'!$B22, 'III. Data Inputs-BE'!$B$69:$B$81, 0), MATCH('X. PE CH4(ET)'!D$15, 'III. Data Inputs-BE'!$B$69:$L$69,0))*VLOOKUP('X. PE CH4(ET)'!D$15, 'III. Data Inputs-BE'!$B$93:$D$102, 3, FALSE)*0.3, "")</f>
        <v>0</v>
      </c>
      <c r="E22" s="486">
        <f>IFERROR(VLOOKUP(E$15, 'IV. Data Inputs-PE'!$B$96:$D$105, 3, FALSE)*INDEX('III. Data Inputs-BE'!$B$69:$L$81, MATCH('X. PE CH4(ET)'!$B22, 'III. Data Inputs-BE'!$B$69:$B$81, 0), MATCH('X. PE CH4(ET)'!E$15, 'III. Data Inputs-BE'!$B$69:$L$69,0))*VLOOKUP('X. PE CH4(ET)'!E$15, 'III. Data Inputs-BE'!$B$93:$D$102, 3, FALSE)*0.3, "")</f>
        <v>0</v>
      </c>
      <c r="F22" s="486">
        <f>IFERROR(VLOOKUP(F$15, 'IV. Data Inputs-PE'!$B$96:$D$105, 3, FALSE)*INDEX('III. Data Inputs-BE'!$B$69:$L$81, MATCH('X. PE CH4(ET)'!$B22, 'III. Data Inputs-BE'!$B$69:$B$81, 0), MATCH('X. PE CH4(ET)'!F$15, 'III. Data Inputs-BE'!$B$69:$L$69,0))*VLOOKUP('X. PE CH4(ET)'!F$15, 'III. Data Inputs-BE'!$B$93:$D$102, 3, FALSE)*0.3, "")</f>
        <v>0</v>
      </c>
      <c r="G22" s="486">
        <f>IFERROR(VLOOKUP(G$15, 'IV. Data Inputs-PE'!$B$96:$D$105, 3, FALSE)*INDEX('III. Data Inputs-BE'!$B$69:$L$81, MATCH('X. PE CH4(ET)'!$B22, 'III. Data Inputs-BE'!$B$69:$B$81, 0), MATCH('X. PE CH4(ET)'!G$15, 'III. Data Inputs-BE'!$B$69:$L$69,0))*VLOOKUP('X. PE CH4(ET)'!G$15, 'III. Data Inputs-BE'!$B$93:$D$102, 3, FALSE)*0.3, "")</f>
        <v>0</v>
      </c>
      <c r="H22" s="486">
        <f>IFERROR(VLOOKUP(H$15, 'IV. Data Inputs-PE'!$B$96:$D$105, 3, FALSE)*INDEX('III. Data Inputs-BE'!$B$69:$L$81, MATCH('X. PE CH4(ET)'!$B22, 'III. Data Inputs-BE'!$B$69:$B$81, 0), MATCH('X. PE CH4(ET)'!H$15, 'III. Data Inputs-BE'!$B$69:$L$69,0))*VLOOKUP('X. PE CH4(ET)'!H$15, 'III. Data Inputs-BE'!$B$93:$D$102, 3, FALSE)*0.3, "")</f>
        <v>0</v>
      </c>
      <c r="I22" s="486">
        <f>IFERROR(VLOOKUP(I$15, 'IV. Data Inputs-PE'!$B$96:$D$105, 3, FALSE)*INDEX('III. Data Inputs-BE'!$B$69:$L$81, MATCH('X. PE CH4(ET)'!$B22, 'III. Data Inputs-BE'!$B$69:$B$81, 0), MATCH('X. PE CH4(ET)'!I$15, 'III. Data Inputs-BE'!$B$69:$L$69,0))*VLOOKUP('X. PE CH4(ET)'!I$15, 'III. Data Inputs-BE'!$B$93:$D$102, 3, FALSE)*0.3, "")</f>
        <v>0</v>
      </c>
      <c r="J22" s="486">
        <f>IFERROR(VLOOKUP(J$15, 'IV. Data Inputs-PE'!$B$96:$D$105, 3, FALSE)*INDEX('III. Data Inputs-BE'!$B$69:$L$81, MATCH('X. PE CH4(ET)'!$B22, 'III. Data Inputs-BE'!$B$69:$B$81, 0), MATCH('X. PE CH4(ET)'!J$15, 'III. Data Inputs-BE'!$B$69:$L$69,0))*VLOOKUP('X. PE CH4(ET)'!J$15, 'III. Data Inputs-BE'!$B$93:$D$102, 3, FALSE)*0.3, "")</f>
        <v>0</v>
      </c>
      <c r="K22" s="486">
        <f>IFERROR(VLOOKUP(K$15, 'IV. Data Inputs-PE'!$B$96:$D$105, 3, FALSE)*INDEX('III. Data Inputs-BE'!$B$69:$L$81, MATCH('X. PE CH4(ET)'!$B22, 'III. Data Inputs-BE'!$B$69:$B$81, 0), MATCH('X. PE CH4(ET)'!K$15, 'III. Data Inputs-BE'!$B$69:$L$69,0))*VLOOKUP('X. PE CH4(ET)'!K$15, 'III. Data Inputs-BE'!$B$93:$D$102, 3, FALSE)*0.3, "")</f>
        <v>0</v>
      </c>
      <c r="L22" s="486">
        <f>IFERROR(VLOOKUP(L$15, 'IV. Data Inputs-PE'!$B$96:$D$105, 3, FALSE)*INDEX('III. Data Inputs-BE'!$B$69:$L$81, MATCH('X. PE CH4(ET)'!$B22, 'III. Data Inputs-BE'!$B$69:$B$81, 0), MATCH('X. PE CH4(ET)'!L$15, 'III. Data Inputs-BE'!$B$69:$L$69,0))*VLOOKUP('X. PE CH4(ET)'!L$15, 'III. Data Inputs-BE'!$B$93:$D$102, 3, FALSE)*0.3, "")</f>
        <v>0</v>
      </c>
      <c r="M22" s="486">
        <f t="shared" si="0"/>
        <v>0</v>
      </c>
    </row>
    <row r="23" spans="2:13" x14ac:dyDescent="0.25">
      <c r="B23" s="312" t="str">
        <f>'III. Data Inputs-BE'!$B$40</f>
        <v>August</v>
      </c>
      <c r="C23" s="486">
        <f>IFERROR(VLOOKUP(C$15, 'IV. Data Inputs-PE'!$B$96:$D$105, 3, FALSE)*INDEX('III. Data Inputs-BE'!$B$69:$L$81, MATCH('X. PE CH4(ET)'!$B23, 'III. Data Inputs-BE'!$B$69:$B$81, 0), MATCH('X. PE CH4(ET)'!C$15, 'III. Data Inputs-BE'!$B$69:$L$69,0))*VLOOKUP('X. PE CH4(ET)'!C$15, 'III. Data Inputs-BE'!$B$93:$D$102, 3, FALSE)*0.3, "")</f>
        <v>0</v>
      </c>
      <c r="D23" s="486">
        <f>IFERROR(VLOOKUP(D$15, 'IV. Data Inputs-PE'!$B$96:$D$105, 3, FALSE)*INDEX('III. Data Inputs-BE'!$B$69:$L$81, MATCH('X. PE CH4(ET)'!$B23, 'III. Data Inputs-BE'!$B$69:$B$81, 0), MATCH('X. PE CH4(ET)'!D$15, 'III. Data Inputs-BE'!$B$69:$L$69,0))*VLOOKUP('X. PE CH4(ET)'!D$15, 'III. Data Inputs-BE'!$B$93:$D$102, 3, FALSE)*0.3, "")</f>
        <v>0</v>
      </c>
      <c r="E23" s="486">
        <f>IFERROR(VLOOKUP(E$15, 'IV. Data Inputs-PE'!$B$96:$D$105, 3, FALSE)*INDEX('III. Data Inputs-BE'!$B$69:$L$81, MATCH('X. PE CH4(ET)'!$B23, 'III. Data Inputs-BE'!$B$69:$B$81, 0), MATCH('X. PE CH4(ET)'!E$15, 'III. Data Inputs-BE'!$B$69:$L$69,0))*VLOOKUP('X. PE CH4(ET)'!E$15, 'III. Data Inputs-BE'!$B$93:$D$102, 3, FALSE)*0.3, "")</f>
        <v>0</v>
      </c>
      <c r="F23" s="486">
        <f>IFERROR(VLOOKUP(F$15, 'IV. Data Inputs-PE'!$B$96:$D$105, 3, FALSE)*INDEX('III. Data Inputs-BE'!$B$69:$L$81, MATCH('X. PE CH4(ET)'!$B23, 'III. Data Inputs-BE'!$B$69:$B$81, 0), MATCH('X. PE CH4(ET)'!F$15, 'III. Data Inputs-BE'!$B$69:$L$69,0))*VLOOKUP('X. PE CH4(ET)'!F$15, 'III. Data Inputs-BE'!$B$93:$D$102, 3, FALSE)*0.3, "")</f>
        <v>0</v>
      </c>
      <c r="G23" s="486">
        <f>IFERROR(VLOOKUP(G$15, 'IV. Data Inputs-PE'!$B$96:$D$105, 3, FALSE)*INDEX('III. Data Inputs-BE'!$B$69:$L$81, MATCH('X. PE CH4(ET)'!$B23, 'III. Data Inputs-BE'!$B$69:$B$81, 0), MATCH('X. PE CH4(ET)'!G$15, 'III. Data Inputs-BE'!$B$69:$L$69,0))*VLOOKUP('X. PE CH4(ET)'!G$15, 'III. Data Inputs-BE'!$B$93:$D$102, 3, FALSE)*0.3, "")</f>
        <v>0</v>
      </c>
      <c r="H23" s="486">
        <f>IFERROR(VLOOKUP(H$15, 'IV. Data Inputs-PE'!$B$96:$D$105, 3, FALSE)*INDEX('III. Data Inputs-BE'!$B$69:$L$81, MATCH('X. PE CH4(ET)'!$B23, 'III. Data Inputs-BE'!$B$69:$B$81, 0), MATCH('X. PE CH4(ET)'!H$15, 'III. Data Inputs-BE'!$B$69:$L$69,0))*VLOOKUP('X. PE CH4(ET)'!H$15, 'III. Data Inputs-BE'!$B$93:$D$102, 3, FALSE)*0.3, "")</f>
        <v>0</v>
      </c>
      <c r="I23" s="486">
        <f>IFERROR(VLOOKUP(I$15, 'IV. Data Inputs-PE'!$B$96:$D$105, 3, FALSE)*INDEX('III. Data Inputs-BE'!$B$69:$L$81, MATCH('X. PE CH4(ET)'!$B23, 'III. Data Inputs-BE'!$B$69:$B$81, 0), MATCH('X. PE CH4(ET)'!I$15, 'III. Data Inputs-BE'!$B$69:$L$69,0))*VLOOKUP('X. PE CH4(ET)'!I$15, 'III. Data Inputs-BE'!$B$93:$D$102, 3, FALSE)*0.3, "")</f>
        <v>0</v>
      </c>
      <c r="J23" s="486">
        <f>IFERROR(VLOOKUP(J$15, 'IV. Data Inputs-PE'!$B$96:$D$105, 3, FALSE)*INDEX('III. Data Inputs-BE'!$B$69:$L$81, MATCH('X. PE CH4(ET)'!$B23, 'III. Data Inputs-BE'!$B$69:$B$81, 0), MATCH('X. PE CH4(ET)'!J$15, 'III. Data Inputs-BE'!$B$69:$L$69,0))*VLOOKUP('X. PE CH4(ET)'!J$15, 'III. Data Inputs-BE'!$B$93:$D$102, 3, FALSE)*0.3, "")</f>
        <v>0</v>
      </c>
      <c r="K23" s="486">
        <f>IFERROR(VLOOKUP(K$15, 'IV. Data Inputs-PE'!$B$96:$D$105, 3, FALSE)*INDEX('III. Data Inputs-BE'!$B$69:$L$81, MATCH('X. PE CH4(ET)'!$B23, 'III. Data Inputs-BE'!$B$69:$B$81, 0), MATCH('X. PE CH4(ET)'!K$15, 'III. Data Inputs-BE'!$B$69:$L$69,0))*VLOOKUP('X. PE CH4(ET)'!K$15, 'III. Data Inputs-BE'!$B$93:$D$102, 3, FALSE)*0.3, "")</f>
        <v>0</v>
      </c>
      <c r="L23" s="486">
        <f>IFERROR(VLOOKUP(L$15, 'IV. Data Inputs-PE'!$B$96:$D$105, 3, FALSE)*INDEX('III. Data Inputs-BE'!$B$69:$L$81, MATCH('X. PE CH4(ET)'!$B23, 'III. Data Inputs-BE'!$B$69:$B$81, 0), MATCH('X. PE CH4(ET)'!L$15, 'III. Data Inputs-BE'!$B$69:$L$69,0))*VLOOKUP('X. PE CH4(ET)'!L$15, 'III. Data Inputs-BE'!$B$93:$D$102, 3, FALSE)*0.3, "")</f>
        <v>0</v>
      </c>
      <c r="M23" s="486">
        <f t="shared" si="0"/>
        <v>0</v>
      </c>
    </row>
    <row r="24" spans="2:13" x14ac:dyDescent="0.25">
      <c r="B24" s="312" t="str">
        <f>'III. Data Inputs-BE'!$B$41</f>
        <v>September</v>
      </c>
      <c r="C24" s="486">
        <f>IFERROR(VLOOKUP(C$15, 'IV. Data Inputs-PE'!$B$96:$D$105, 3, FALSE)*INDEX('III. Data Inputs-BE'!$B$69:$L$81, MATCH('X. PE CH4(ET)'!$B24, 'III. Data Inputs-BE'!$B$69:$B$81, 0), MATCH('X. PE CH4(ET)'!C$15, 'III. Data Inputs-BE'!$B$69:$L$69,0))*VLOOKUP('X. PE CH4(ET)'!C$15, 'III. Data Inputs-BE'!$B$93:$D$102, 3, FALSE)*0.3, "")</f>
        <v>0</v>
      </c>
      <c r="D24" s="486">
        <f>IFERROR(VLOOKUP(D$15, 'IV. Data Inputs-PE'!$B$96:$D$105, 3, FALSE)*INDEX('III. Data Inputs-BE'!$B$69:$L$81, MATCH('X. PE CH4(ET)'!$B24, 'III. Data Inputs-BE'!$B$69:$B$81, 0), MATCH('X. PE CH4(ET)'!D$15, 'III. Data Inputs-BE'!$B$69:$L$69,0))*VLOOKUP('X. PE CH4(ET)'!D$15, 'III. Data Inputs-BE'!$B$93:$D$102, 3, FALSE)*0.3, "")</f>
        <v>0</v>
      </c>
      <c r="E24" s="486">
        <f>IFERROR(VLOOKUP(E$15, 'IV. Data Inputs-PE'!$B$96:$D$105, 3, FALSE)*INDEX('III. Data Inputs-BE'!$B$69:$L$81, MATCH('X. PE CH4(ET)'!$B24, 'III. Data Inputs-BE'!$B$69:$B$81, 0), MATCH('X. PE CH4(ET)'!E$15, 'III. Data Inputs-BE'!$B$69:$L$69,0))*VLOOKUP('X. PE CH4(ET)'!E$15, 'III. Data Inputs-BE'!$B$93:$D$102, 3, FALSE)*0.3, "")</f>
        <v>0</v>
      </c>
      <c r="F24" s="486">
        <f>IFERROR(VLOOKUP(F$15, 'IV. Data Inputs-PE'!$B$96:$D$105, 3, FALSE)*INDEX('III. Data Inputs-BE'!$B$69:$L$81, MATCH('X. PE CH4(ET)'!$B24, 'III. Data Inputs-BE'!$B$69:$B$81, 0), MATCH('X. PE CH4(ET)'!F$15, 'III. Data Inputs-BE'!$B$69:$L$69,0))*VLOOKUP('X. PE CH4(ET)'!F$15, 'III. Data Inputs-BE'!$B$93:$D$102, 3, FALSE)*0.3, "")</f>
        <v>0</v>
      </c>
      <c r="G24" s="486">
        <f>IFERROR(VLOOKUP(G$15, 'IV. Data Inputs-PE'!$B$96:$D$105, 3, FALSE)*INDEX('III. Data Inputs-BE'!$B$69:$L$81, MATCH('X. PE CH4(ET)'!$B24, 'III. Data Inputs-BE'!$B$69:$B$81, 0), MATCH('X. PE CH4(ET)'!G$15, 'III. Data Inputs-BE'!$B$69:$L$69,0))*VLOOKUP('X. PE CH4(ET)'!G$15, 'III. Data Inputs-BE'!$B$93:$D$102, 3, FALSE)*0.3, "")</f>
        <v>0</v>
      </c>
      <c r="H24" s="486">
        <f>IFERROR(VLOOKUP(H$15, 'IV. Data Inputs-PE'!$B$96:$D$105, 3, FALSE)*INDEX('III. Data Inputs-BE'!$B$69:$L$81, MATCH('X. PE CH4(ET)'!$B24, 'III. Data Inputs-BE'!$B$69:$B$81, 0), MATCH('X. PE CH4(ET)'!H$15, 'III. Data Inputs-BE'!$B$69:$L$69,0))*VLOOKUP('X. PE CH4(ET)'!H$15, 'III. Data Inputs-BE'!$B$93:$D$102, 3, FALSE)*0.3, "")</f>
        <v>0</v>
      </c>
      <c r="I24" s="486">
        <f>IFERROR(VLOOKUP(I$15, 'IV. Data Inputs-PE'!$B$96:$D$105, 3, FALSE)*INDEX('III. Data Inputs-BE'!$B$69:$L$81, MATCH('X. PE CH4(ET)'!$B24, 'III. Data Inputs-BE'!$B$69:$B$81, 0), MATCH('X. PE CH4(ET)'!I$15, 'III. Data Inputs-BE'!$B$69:$L$69,0))*VLOOKUP('X. PE CH4(ET)'!I$15, 'III. Data Inputs-BE'!$B$93:$D$102, 3, FALSE)*0.3, "")</f>
        <v>0</v>
      </c>
      <c r="J24" s="486">
        <f>IFERROR(VLOOKUP(J$15, 'IV. Data Inputs-PE'!$B$96:$D$105, 3, FALSE)*INDEX('III. Data Inputs-BE'!$B$69:$L$81, MATCH('X. PE CH4(ET)'!$B24, 'III. Data Inputs-BE'!$B$69:$B$81, 0), MATCH('X. PE CH4(ET)'!J$15, 'III. Data Inputs-BE'!$B$69:$L$69,0))*VLOOKUP('X. PE CH4(ET)'!J$15, 'III. Data Inputs-BE'!$B$93:$D$102, 3, FALSE)*0.3, "")</f>
        <v>0</v>
      </c>
      <c r="K24" s="486">
        <f>IFERROR(VLOOKUP(K$15, 'IV. Data Inputs-PE'!$B$96:$D$105, 3, FALSE)*INDEX('III. Data Inputs-BE'!$B$69:$L$81, MATCH('X. PE CH4(ET)'!$B24, 'III. Data Inputs-BE'!$B$69:$B$81, 0), MATCH('X. PE CH4(ET)'!K$15, 'III. Data Inputs-BE'!$B$69:$L$69,0))*VLOOKUP('X. PE CH4(ET)'!K$15, 'III. Data Inputs-BE'!$B$93:$D$102, 3, FALSE)*0.3, "")</f>
        <v>0</v>
      </c>
      <c r="L24" s="486">
        <f>IFERROR(VLOOKUP(L$15, 'IV. Data Inputs-PE'!$B$96:$D$105, 3, FALSE)*INDEX('III. Data Inputs-BE'!$B$69:$L$81, MATCH('X. PE CH4(ET)'!$B24, 'III. Data Inputs-BE'!$B$69:$B$81, 0), MATCH('X. PE CH4(ET)'!L$15, 'III. Data Inputs-BE'!$B$69:$L$69,0))*VLOOKUP('X. PE CH4(ET)'!L$15, 'III. Data Inputs-BE'!$B$93:$D$102, 3, FALSE)*0.3, "")</f>
        <v>0</v>
      </c>
      <c r="M24" s="486">
        <f t="shared" si="0"/>
        <v>0</v>
      </c>
    </row>
    <row r="25" spans="2:13" x14ac:dyDescent="0.25">
      <c r="B25" s="312" t="str">
        <f>'III. Data Inputs-BE'!$B$42</f>
        <v>October</v>
      </c>
      <c r="C25" s="486">
        <f>IFERROR(VLOOKUP(C$15, 'IV. Data Inputs-PE'!$B$96:$D$105, 3, FALSE)*INDEX('III. Data Inputs-BE'!$B$69:$L$81, MATCH('X. PE CH4(ET)'!$B25, 'III. Data Inputs-BE'!$B$69:$B$81, 0), MATCH('X. PE CH4(ET)'!C$15, 'III. Data Inputs-BE'!$B$69:$L$69,0))*VLOOKUP('X. PE CH4(ET)'!C$15, 'III. Data Inputs-BE'!$B$93:$D$102, 3, FALSE)*0.3, "")</f>
        <v>0</v>
      </c>
      <c r="D25" s="486">
        <f>IFERROR(VLOOKUP(D$15, 'IV. Data Inputs-PE'!$B$96:$D$105, 3, FALSE)*INDEX('III. Data Inputs-BE'!$B$69:$L$81, MATCH('X. PE CH4(ET)'!$B25, 'III. Data Inputs-BE'!$B$69:$B$81, 0), MATCH('X. PE CH4(ET)'!D$15, 'III. Data Inputs-BE'!$B$69:$L$69,0))*VLOOKUP('X. PE CH4(ET)'!D$15, 'III. Data Inputs-BE'!$B$93:$D$102, 3, FALSE)*0.3, "")</f>
        <v>0</v>
      </c>
      <c r="E25" s="486">
        <f>IFERROR(VLOOKUP(E$15, 'IV. Data Inputs-PE'!$B$96:$D$105, 3, FALSE)*INDEX('III. Data Inputs-BE'!$B$69:$L$81, MATCH('X. PE CH4(ET)'!$B25, 'III. Data Inputs-BE'!$B$69:$B$81, 0), MATCH('X. PE CH4(ET)'!E$15, 'III. Data Inputs-BE'!$B$69:$L$69,0))*VLOOKUP('X. PE CH4(ET)'!E$15, 'III. Data Inputs-BE'!$B$93:$D$102, 3, FALSE)*0.3, "")</f>
        <v>0</v>
      </c>
      <c r="F25" s="486">
        <f>IFERROR(VLOOKUP(F$15, 'IV. Data Inputs-PE'!$B$96:$D$105, 3, FALSE)*INDEX('III. Data Inputs-BE'!$B$69:$L$81, MATCH('X. PE CH4(ET)'!$B25, 'III. Data Inputs-BE'!$B$69:$B$81, 0), MATCH('X. PE CH4(ET)'!F$15, 'III. Data Inputs-BE'!$B$69:$L$69,0))*VLOOKUP('X. PE CH4(ET)'!F$15, 'III. Data Inputs-BE'!$B$93:$D$102, 3, FALSE)*0.3, "")</f>
        <v>0</v>
      </c>
      <c r="G25" s="486">
        <f>IFERROR(VLOOKUP(G$15, 'IV. Data Inputs-PE'!$B$96:$D$105, 3, FALSE)*INDEX('III. Data Inputs-BE'!$B$69:$L$81, MATCH('X. PE CH4(ET)'!$B25, 'III. Data Inputs-BE'!$B$69:$B$81, 0), MATCH('X. PE CH4(ET)'!G$15, 'III. Data Inputs-BE'!$B$69:$L$69,0))*VLOOKUP('X. PE CH4(ET)'!G$15, 'III. Data Inputs-BE'!$B$93:$D$102, 3, FALSE)*0.3, "")</f>
        <v>0</v>
      </c>
      <c r="H25" s="486">
        <f>IFERROR(VLOOKUP(H$15, 'IV. Data Inputs-PE'!$B$96:$D$105, 3, FALSE)*INDEX('III. Data Inputs-BE'!$B$69:$L$81, MATCH('X. PE CH4(ET)'!$B25, 'III. Data Inputs-BE'!$B$69:$B$81, 0), MATCH('X. PE CH4(ET)'!H$15, 'III. Data Inputs-BE'!$B$69:$L$69,0))*VLOOKUP('X. PE CH4(ET)'!H$15, 'III. Data Inputs-BE'!$B$93:$D$102, 3, FALSE)*0.3, "")</f>
        <v>0</v>
      </c>
      <c r="I25" s="486">
        <f>IFERROR(VLOOKUP(I$15, 'IV. Data Inputs-PE'!$B$96:$D$105, 3, FALSE)*INDEX('III. Data Inputs-BE'!$B$69:$L$81, MATCH('X. PE CH4(ET)'!$B25, 'III. Data Inputs-BE'!$B$69:$B$81, 0), MATCH('X. PE CH4(ET)'!I$15, 'III. Data Inputs-BE'!$B$69:$L$69,0))*VLOOKUP('X. PE CH4(ET)'!I$15, 'III. Data Inputs-BE'!$B$93:$D$102, 3, FALSE)*0.3, "")</f>
        <v>0</v>
      </c>
      <c r="J25" s="486">
        <f>IFERROR(VLOOKUP(J$15, 'IV. Data Inputs-PE'!$B$96:$D$105, 3, FALSE)*INDEX('III. Data Inputs-BE'!$B$69:$L$81, MATCH('X. PE CH4(ET)'!$B25, 'III. Data Inputs-BE'!$B$69:$B$81, 0), MATCH('X. PE CH4(ET)'!J$15, 'III. Data Inputs-BE'!$B$69:$L$69,0))*VLOOKUP('X. PE CH4(ET)'!J$15, 'III. Data Inputs-BE'!$B$93:$D$102, 3, FALSE)*0.3, "")</f>
        <v>0</v>
      </c>
      <c r="K25" s="486">
        <f>IFERROR(VLOOKUP(K$15, 'IV. Data Inputs-PE'!$B$96:$D$105, 3, FALSE)*INDEX('III. Data Inputs-BE'!$B$69:$L$81, MATCH('X. PE CH4(ET)'!$B25, 'III. Data Inputs-BE'!$B$69:$B$81, 0), MATCH('X. PE CH4(ET)'!K$15, 'III. Data Inputs-BE'!$B$69:$L$69,0))*VLOOKUP('X. PE CH4(ET)'!K$15, 'III. Data Inputs-BE'!$B$93:$D$102, 3, FALSE)*0.3, "")</f>
        <v>0</v>
      </c>
      <c r="L25" s="486">
        <f>IFERROR(VLOOKUP(L$15, 'IV. Data Inputs-PE'!$B$96:$D$105, 3, FALSE)*INDEX('III. Data Inputs-BE'!$B$69:$L$81, MATCH('X. PE CH4(ET)'!$B25, 'III. Data Inputs-BE'!$B$69:$B$81, 0), MATCH('X. PE CH4(ET)'!L$15, 'III. Data Inputs-BE'!$B$69:$L$69,0))*VLOOKUP('X. PE CH4(ET)'!L$15, 'III. Data Inputs-BE'!$B$93:$D$102, 3, FALSE)*0.3, "")</f>
        <v>0</v>
      </c>
      <c r="M25" s="486">
        <f t="shared" si="0"/>
        <v>0</v>
      </c>
    </row>
    <row r="26" spans="2:13" x14ac:dyDescent="0.25">
      <c r="B26" s="312" t="str">
        <f>'III. Data Inputs-BE'!$B$43</f>
        <v>November</v>
      </c>
      <c r="C26" s="486">
        <f>IFERROR(VLOOKUP(C$15, 'IV. Data Inputs-PE'!$B$96:$D$105, 3, FALSE)*INDEX('III. Data Inputs-BE'!$B$69:$L$81, MATCH('X. PE CH4(ET)'!$B26, 'III. Data Inputs-BE'!$B$69:$B$81, 0), MATCH('X. PE CH4(ET)'!C$15, 'III. Data Inputs-BE'!$B$69:$L$69,0))*VLOOKUP('X. PE CH4(ET)'!C$15, 'III. Data Inputs-BE'!$B$93:$D$102, 3, FALSE)*0.3, "")</f>
        <v>0</v>
      </c>
      <c r="D26" s="486">
        <f>IFERROR(VLOOKUP(D$15, 'IV. Data Inputs-PE'!$B$96:$D$105, 3, FALSE)*INDEX('III. Data Inputs-BE'!$B$69:$L$81, MATCH('X. PE CH4(ET)'!$B26, 'III. Data Inputs-BE'!$B$69:$B$81, 0), MATCH('X. PE CH4(ET)'!D$15, 'III. Data Inputs-BE'!$B$69:$L$69,0))*VLOOKUP('X. PE CH4(ET)'!D$15, 'III. Data Inputs-BE'!$B$93:$D$102, 3, FALSE)*0.3, "")</f>
        <v>0</v>
      </c>
      <c r="E26" s="486">
        <f>IFERROR(VLOOKUP(E$15, 'IV. Data Inputs-PE'!$B$96:$D$105, 3, FALSE)*INDEX('III. Data Inputs-BE'!$B$69:$L$81, MATCH('X. PE CH4(ET)'!$B26, 'III. Data Inputs-BE'!$B$69:$B$81, 0), MATCH('X. PE CH4(ET)'!E$15, 'III. Data Inputs-BE'!$B$69:$L$69,0))*VLOOKUP('X. PE CH4(ET)'!E$15, 'III. Data Inputs-BE'!$B$93:$D$102, 3, FALSE)*0.3, "")</f>
        <v>0</v>
      </c>
      <c r="F26" s="486">
        <f>IFERROR(VLOOKUP(F$15, 'IV. Data Inputs-PE'!$B$96:$D$105, 3, FALSE)*INDEX('III. Data Inputs-BE'!$B$69:$L$81, MATCH('X. PE CH4(ET)'!$B26, 'III. Data Inputs-BE'!$B$69:$B$81, 0), MATCH('X. PE CH4(ET)'!F$15, 'III. Data Inputs-BE'!$B$69:$L$69,0))*VLOOKUP('X. PE CH4(ET)'!F$15, 'III. Data Inputs-BE'!$B$93:$D$102, 3, FALSE)*0.3, "")</f>
        <v>0</v>
      </c>
      <c r="G26" s="486">
        <f>IFERROR(VLOOKUP(G$15, 'IV. Data Inputs-PE'!$B$96:$D$105, 3, FALSE)*INDEX('III. Data Inputs-BE'!$B$69:$L$81, MATCH('X. PE CH4(ET)'!$B26, 'III. Data Inputs-BE'!$B$69:$B$81, 0), MATCH('X. PE CH4(ET)'!G$15, 'III. Data Inputs-BE'!$B$69:$L$69,0))*VLOOKUP('X. PE CH4(ET)'!G$15, 'III. Data Inputs-BE'!$B$93:$D$102, 3, FALSE)*0.3, "")</f>
        <v>0</v>
      </c>
      <c r="H26" s="486">
        <f>IFERROR(VLOOKUP(H$15, 'IV. Data Inputs-PE'!$B$96:$D$105, 3, FALSE)*INDEX('III. Data Inputs-BE'!$B$69:$L$81, MATCH('X. PE CH4(ET)'!$B26, 'III. Data Inputs-BE'!$B$69:$B$81, 0), MATCH('X. PE CH4(ET)'!H$15, 'III. Data Inputs-BE'!$B$69:$L$69,0))*VLOOKUP('X. PE CH4(ET)'!H$15, 'III. Data Inputs-BE'!$B$93:$D$102, 3, FALSE)*0.3, "")</f>
        <v>0</v>
      </c>
      <c r="I26" s="486">
        <f>IFERROR(VLOOKUP(I$15, 'IV. Data Inputs-PE'!$B$96:$D$105, 3, FALSE)*INDEX('III. Data Inputs-BE'!$B$69:$L$81, MATCH('X. PE CH4(ET)'!$B26, 'III. Data Inputs-BE'!$B$69:$B$81, 0), MATCH('X. PE CH4(ET)'!I$15, 'III. Data Inputs-BE'!$B$69:$L$69,0))*VLOOKUP('X. PE CH4(ET)'!I$15, 'III. Data Inputs-BE'!$B$93:$D$102, 3, FALSE)*0.3, "")</f>
        <v>0</v>
      </c>
      <c r="J26" s="486">
        <f>IFERROR(VLOOKUP(J$15, 'IV. Data Inputs-PE'!$B$96:$D$105, 3, FALSE)*INDEX('III. Data Inputs-BE'!$B$69:$L$81, MATCH('X. PE CH4(ET)'!$B26, 'III. Data Inputs-BE'!$B$69:$B$81, 0), MATCH('X. PE CH4(ET)'!J$15, 'III. Data Inputs-BE'!$B$69:$L$69,0))*VLOOKUP('X. PE CH4(ET)'!J$15, 'III. Data Inputs-BE'!$B$93:$D$102, 3, FALSE)*0.3, "")</f>
        <v>0</v>
      </c>
      <c r="K26" s="486">
        <f>IFERROR(VLOOKUP(K$15, 'IV. Data Inputs-PE'!$B$96:$D$105, 3, FALSE)*INDEX('III. Data Inputs-BE'!$B$69:$L$81, MATCH('X. PE CH4(ET)'!$B26, 'III. Data Inputs-BE'!$B$69:$B$81, 0), MATCH('X. PE CH4(ET)'!K$15, 'III. Data Inputs-BE'!$B$69:$L$69,0))*VLOOKUP('X. PE CH4(ET)'!K$15, 'III. Data Inputs-BE'!$B$93:$D$102, 3, FALSE)*0.3, "")</f>
        <v>0</v>
      </c>
      <c r="L26" s="486">
        <f>IFERROR(VLOOKUP(L$15, 'IV. Data Inputs-PE'!$B$96:$D$105, 3, FALSE)*INDEX('III. Data Inputs-BE'!$B$69:$L$81, MATCH('X. PE CH4(ET)'!$B26, 'III. Data Inputs-BE'!$B$69:$B$81, 0), MATCH('X. PE CH4(ET)'!L$15, 'III. Data Inputs-BE'!$B$69:$L$69,0))*VLOOKUP('X. PE CH4(ET)'!L$15, 'III. Data Inputs-BE'!$B$93:$D$102, 3, FALSE)*0.3, "")</f>
        <v>0</v>
      </c>
      <c r="M26" s="486">
        <f t="shared" si="0"/>
        <v>0</v>
      </c>
    </row>
    <row r="27" spans="2:13" x14ac:dyDescent="0.25">
      <c r="B27" s="312" t="str">
        <f>'III. Data Inputs-BE'!$B$44</f>
        <v>December</v>
      </c>
      <c r="C27" s="486">
        <f>IFERROR(VLOOKUP(C$15, 'IV. Data Inputs-PE'!$B$96:$D$105, 3, FALSE)*INDEX('III. Data Inputs-BE'!$B$69:$L$81, MATCH('X. PE CH4(ET)'!$B27, 'III. Data Inputs-BE'!$B$69:$B$81, 0), MATCH('X. PE CH4(ET)'!C$15, 'III. Data Inputs-BE'!$B$69:$L$69,0))*VLOOKUP('X. PE CH4(ET)'!C$15, 'III. Data Inputs-BE'!$B$93:$D$102, 3, FALSE)*0.3, "")</f>
        <v>0</v>
      </c>
      <c r="D27" s="486">
        <f>IFERROR(VLOOKUP(D$15, 'IV. Data Inputs-PE'!$B$96:$D$105, 3, FALSE)*INDEX('III. Data Inputs-BE'!$B$69:$L$81, MATCH('X. PE CH4(ET)'!$B27, 'III. Data Inputs-BE'!$B$69:$B$81, 0), MATCH('X. PE CH4(ET)'!D$15, 'III. Data Inputs-BE'!$B$69:$L$69,0))*VLOOKUP('X. PE CH4(ET)'!D$15, 'III. Data Inputs-BE'!$B$93:$D$102, 3, FALSE)*0.3, "")</f>
        <v>0</v>
      </c>
      <c r="E27" s="486">
        <f>IFERROR(VLOOKUP(E$15, 'IV. Data Inputs-PE'!$B$96:$D$105, 3, FALSE)*INDEX('III. Data Inputs-BE'!$B$69:$L$81, MATCH('X. PE CH4(ET)'!$B27, 'III. Data Inputs-BE'!$B$69:$B$81, 0), MATCH('X. PE CH4(ET)'!E$15, 'III. Data Inputs-BE'!$B$69:$L$69,0))*VLOOKUP('X. PE CH4(ET)'!E$15, 'III. Data Inputs-BE'!$B$93:$D$102, 3, FALSE)*0.3, "")</f>
        <v>0</v>
      </c>
      <c r="F27" s="486">
        <f>IFERROR(VLOOKUP(F$15, 'IV. Data Inputs-PE'!$B$96:$D$105, 3, FALSE)*INDEX('III. Data Inputs-BE'!$B$69:$L$81, MATCH('X. PE CH4(ET)'!$B27, 'III. Data Inputs-BE'!$B$69:$B$81, 0), MATCH('X. PE CH4(ET)'!F$15, 'III. Data Inputs-BE'!$B$69:$L$69,0))*VLOOKUP('X. PE CH4(ET)'!F$15, 'III. Data Inputs-BE'!$B$93:$D$102, 3, FALSE)*0.3, "")</f>
        <v>0</v>
      </c>
      <c r="G27" s="486">
        <f>IFERROR(VLOOKUP(G$15, 'IV. Data Inputs-PE'!$B$96:$D$105, 3, FALSE)*INDEX('III. Data Inputs-BE'!$B$69:$L$81, MATCH('X. PE CH4(ET)'!$B27, 'III. Data Inputs-BE'!$B$69:$B$81, 0), MATCH('X. PE CH4(ET)'!G$15, 'III. Data Inputs-BE'!$B$69:$L$69,0))*VLOOKUP('X. PE CH4(ET)'!G$15, 'III. Data Inputs-BE'!$B$93:$D$102, 3, FALSE)*0.3, "")</f>
        <v>0</v>
      </c>
      <c r="H27" s="486">
        <f>IFERROR(VLOOKUP(H$15, 'IV. Data Inputs-PE'!$B$96:$D$105, 3, FALSE)*INDEX('III. Data Inputs-BE'!$B$69:$L$81, MATCH('X. PE CH4(ET)'!$B27, 'III. Data Inputs-BE'!$B$69:$B$81, 0), MATCH('X. PE CH4(ET)'!H$15, 'III. Data Inputs-BE'!$B$69:$L$69,0))*VLOOKUP('X. PE CH4(ET)'!H$15, 'III. Data Inputs-BE'!$B$93:$D$102, 3, FALSE)*0.3, "")</f>
        <v>0</v>
      </c>
      <c r="I27" s="486">
        <f>IFERROR(VLOOKUP(I$15, 'IV. Data Inputs-PE'!$B$96:$D$105, 3, FALSE)*INDEX('III. Data Inputs-BE'!$B$69:$L$81, MATCH('X. PE CH4(ET)'!$B27, 'III. Data Inputs-BE'!$B$69:$B$81, 0), MATCH('X. PE CH4(ET)'!I$15, 'III. Data Inputs-BE'!$B$69:$L$69,0))*VLOOKUP('X. PE CH4(ET)'!I$15, 'III. Data Inputs-BE'!$B$93:$D$102, 3, FALSE)*0.3, "")</f>
        <v>0</v>
      </c>
      <c r="J27" s="486">
        <f>IFERROR(VLOOKUP(J$15, 'IV. Data Inputs-PE'!$B$96:$D$105, 3, FALSE)*INDEX('III. Data Inputs-BE'!$B$69:$L$81, MATCH('X. PE CH4(ET)'!$B27, 'III. Data Inputs-BE'!$B$69:$B$81, 0), MATCH('X. PE CH4(ET)'!J$15, 'III. Data Inputs-BE'!$B$69:$L$69,0))*VLOOKUP('X. PE CH4(ET)'!J$15, 'III. Data Inputs-BE'!$B$93:$D$102, 3, FALSE)*0.3, "")</f>
        <v>0</v>
      </c>
      <c r="K27" s="486">
        <f>IFERROR(VLOOKUP(K$15, 'IV. Data Inputs-PE'!$B$96:$D$105, 3, FALSE)*INDEX('III. Data Inputs-BE'!$B$69:$L$81, MATCH('X. PE CH4(ET)'!$B27, 'III. Data Inputs-BE'!$B$69:$B$81, 0), MATCH('X. PE CH4(ET)'!K$15, 'III. Data Inputs-BE'!$B$69:$L$69,0))*VLOOKUP('X. PE CH4(ET)'!K$15, 'III. Data Inputs-BE'!$B$93:$D$102, 3, FALSE)*0.3, "")</f>
        <v>0</v>
      </c>
      <c r="L27" s="486">
        <f>IFERROR(VLOOKUP(L$15, 'IV. Data Inputs-PE'!$B$96:$D$105, 3, FALSE)*INDEX('III. Data Inputs-BE'!$B$69:$L$81, MATCH('X. PE CH4(ET)'!$B27, 'III. Data Inputs-BE'!$B$69:$B$81, 0), MATCH('X. PE CH4(ET)'!L$15, 'III. Data Inputs-BE'!$B$69:$L$69,0))*VLOOKUP('X. PE CH4(ET)'!L$15, 'III. Data Inputs-BE'!$B$93:$D$102, 3, FALSE)*0.3, "")</f>
        <v>0</v>
      </c>
      <c r="M27" s="486">
        <f t="shared" si="0"/>
        <v>0</v>
      </c>
    </row>
    <row r="29" spans="2:13" s="3" customFormat="1" ht="15" x14ac:dyDescent="0.4">
      <c r="B29" s="379" t="s">
        <v>195</v>
      </c>
      <c r="C29" s="128" t="s">
        <v>458</v>
      </c>
      <c r="D29" s="128" t="s">
        <v>459</v>
      </c>
      <c r="E29" s="128" t="s">
        <v>460</v>
      </c>
      <c r="F29" s="128" t="s">
        <v>461</v>
      </c>
      <c r="G29" s="383" t="s">
        <v>385</v>
      </c>
      <c r="H29" s="128" t="s">
        <v>462</v>
      </c>
      <c r="I29" s="128" t="s">
        <v>463</v>
      </c>
    </row>
    <row r="30" spans="2:13" x14ac:dyDescent="0.25">
      <c r="B30" s="312" t="str">
        <f>'III. Data Inputs-BE'!$B$33</f>
        <v>January</v>
      </c>
      <c r="C30" s="432">
        <f>M16</f>
        <v>0</v>
      </c>
      <c r="D30" s="337" t="e">
        <f>IF(ISBLANK('IV. Data Inputs-PE'!$G$97), 'IV. Data Inputs-PE'!$F$97, 'IV. Data Inputs-PE'!$G$97)</f>
        <v>#DIV/0!</v>
      </c>
      <c r="E30" s="337">
        <f>'III. Data Inputs-BE'!E33</f>
        <v>31</v>
      </c>
      <c r="F30" s="385">
        <f>'III. Data Inputs-BE'!G33</f>
        <v>0</v>
      </c>
      <c r="G30" s="384">
        <f>MIN(0.95,MAX(0.104, EXP((15175*(('III. Data Inputs-BE'!C33+273)-303.16))/(1.987*('III. Data Inputs-BE'!C33+273)*303.16))))</f>
        <v>0.104</v>
      </c>
      <c r="H30" s="337">
        <f>'IV. Data Inputs-PE'!C110</f>
        <v>1</v>
      </c>
      <c r="I30" s="386">
        <f>IFERROR(C30*D30*E30*0.8*G30*H30*0.68*0.001*(F30/E30), 0)</f>
        <v>0</v>
      </c>
    </row>
    <row r="31" spans="2:13" x14ac:dyDescent="0.25">
      <c r="B31" s="312" t="str">
        <f>'III. Data Inputs-BE'!$B$34</f>
        <v>February</v>
      </c>
      <c r="C31" s="432">
        <f t="shared" ref="C31:C41" si="1">M17</f>
        <v>0</v>
      </c>
      <c r="D31" s="337" t="e">
        <f>IF(ISBLANK('IV. Data Inputs-PE'!$G$97), 'IV. Data Inputs-PE'!$F$97, 'IV. Data Inputs-PE'!$G$97)</f>
        <v>#DIV/0!</v>
      </c>
      <c r="E31" s="337">
        <f>'III. Data Inputs-BE'!E34</f>
        <v>28</v>
      </c>
      <c r="F31" s="385">
        <f>'III. Data Inputs-BE'!G34</f>
        <v>0</v>
      </c>
      <c r="G31" s="384">
        <f>MIN(0.95,MAX(0.104, EXP((15175*(('III. Data Inputs-BE'!C34+273)-303.16))/(1.987*('III. Data Inputs-BE'!C34+273)*303.16))))</f>
        <v>0.104</v>
      </c>
      <c r="H31" s="337">
        <f>'IV. Data Inputs-PE'!C111</f>
        <v>1</v>
      </c>
      <c r="I31" s="386">
        <f t="shared" ref="I31:I41" si="2">IFERROR(C31*D31*E31*0.8*G31*H31*0.68*0.001*(F31/E31), 0)</f>
        <v>0</v>
      </c>
    </row>
    <row r="32" spans="2:13" x14ac:dyDescent="0.25">
      <c r="B32" s="312" t="str">
        <f>'III. Data Inputs-BE'!$B$35</f>
        <v>March</v>
      </c>
      <c r="C32" s="432">
        <f t="shared" si="1"/>
        <v>0</v>
      </c>
      <c r="D32" s="337" t="e">
        <f>IF(ISBLANK('IV. Data Inputs-PE'!$G$97), 'IV. Data Inputs-PE'!$F$97, 'IV. Data Inputs-PE'!$G$97)</f>
        <v>#DIV/0!</v>
      </c>
      <c r="E32" s="337">
        <f>'III. Data Inputs-BE'!E35</f>
        <v>31</v>
      </c>
      <c r="F32" s="385">
        <f>'III. Data Inputs-BE'!G35</f>
        <v>0</v>
      </c>
      <c r="G32" s="384">
        <f>MIN(0.95,MAX(0.104, EXP((15175*(('III. Data Inputs-BE'!C35+273)-303.16))/(1.987*('III. Data Inputs-BE'!C35+273)*303.16))))</f>
        <v>0.104</v>
      </c>
      <c r="H32" s="337">
        <f>'IV. Data Inputs-PE'!C112</f>
        <v>1</v>
      </c>
      <c r="I32" s="386">
        <f t="shared" si="2"/>
        <v>0</v>
      </c>
    </row>
    <row r="33" spans="2:9" x14ac:dyDescent="0.25">
      <c r="B33" s="312" t="str">
        <f>'III. Data Inputs-BE'!$B$36</f>
        <v>April</v>
      </c>
      <c r="C33" s="432">
        <f t="shared" si="1"/>
        <v>0</v>
      </c>
      <c r="D33" s="337" t="e">
        <f>IF(ISBLANK('IV. Data Inputs-PE'!$G$97), 'IV. Data Inputs-PE'!$F$97, 'IV. Data Inputs-PE'!$G$97)</f>
        <v>#DIV/0!</v>
      </c>
      <c r="E33" s="337">
        <f>'III. Data Inputs-BE'!E36</f>
        <v>30</v>
      </c>
      <c r="F33" s="385">
        <f>'III. Data Inputs-BE'!G36</f>
        <v>0</v>
      </c>
      <c r="G33" s="384">
        <f>MIN(0.95,MAX(0.104, EXP((15175*(('III. Data Inputs-BE'!C36+273)-303.16))/(1.987*('III. Data Inputs-BE'!C36+273)*303.16))))</f>
        <v>0.104</v>
      </c>
      <c r="H33" s="337">
        <f>'IV. Data Inputs-PE'!C113</f>
        <v>1</v>
      </c>
      <c r="I33" s="386">
        <f t="shared" si="2"/>
        <v>0</v>
      </c>
    </row>
    <row r="34" spans="2:9" x14ac:dyDescent="0.25">
      <c r="B34" s="312" t="str">
        <f>'III. Data Inputs-BE'!$B$37</f>
        <v>May</v>
      </c>
      <c r="C34" s="432">
        <f t="shared" si="1"/>
        <v>0</v>
      </c>
      <c r="D34" s="337" t="e">
        <f>IF(ISBLANK('IV. Data Inputs-PE'!$G$97), 'IV. Data Inputs-PE'!$F$97, 'IV. Data Inputs-PE'!$G$97)</f>
        <v>#DIV/0!</v>
      </c>
      <c r="E34" s="337">
        <f>'III. Data Inputs-BE'!E37</f>
        <v>31</v>
      </c>
      <c r="F34" s="385">
        <f>'III. Data Inputs-BE'!G37</f>
        <v>0</v>
      </c>
      <c r="G34" s="384">
        <f>MIN(0.95,MAX(0.104, EXP((15175*(('III. Data Inputs-BE'!C37+273)-303.16))/(1.987*('III. Data Inputs-BE'!C37+273)*303.16))))</f>
        <v>0.104</v>
      </c>
      <c r="H34" s="337">
        <f>'IV. Data Inputs-PE'!C114</f>
        <v>1</v>
      </c>
      <c r="I34" s="386">
        <f t="shared" si="2"/>
        <v>0</v>
      </c>
    </row>
    <row r="35" spans="2:9" x14ac:dyDescent="0.25">
      <c r="B35" s="312" t="str">
        <f>'III. Data Inputs-BE'!$B$38</f>
        <v>June</v>
      </c>
      <c r="C35" s="432">
        <f t="shared" si="1"/>
        <v>0</v>
      </c>
      <c r="D35" s="337" t="e">
        <f>IF(ISBLANK('IV. Data Inputs-PE'!$G$97), 'IV. Data Inputs-PE'!$F$97, 'IV. Data Inputs-PE'!$G$97)</f>
        <v>#DIV/0!</v>
      </c>
      <c r="E35" s="337">
        <f>'III. Data Inputs-BE'!E38</f>
        <v>30</v>
      </c>
      <c r="F35" s="385">
        <f>'III. Data Inputs-BE'!G38</f>
        <v>0</v>
      </c>
      <c r="G35" s="384">
        <f>MIN(0.95,MAX(0.104, EXP((15175*(('III. Data Inputs-BE'!C38+273)-303.16))/(1.987*('III. Data Inputs-BE'!C38+273)*303.16))))</f>
        <v>0.104</v>
      </c>
      <c r="H35" s="337">
        <f>'IV. Data Inputs-PE'!C115</f>
        <v>1</v>
      </c>
      <c r="I35" s="386">
        <f t="shared" si="2"/>
        <v>0</v>
      </c>
    </row>
    <row r="36" spans="2:9" x14ac:dyDescent="0.25">
      <c r="B36" s="312" t="str">
        <f>'III. Data Inputs-BE'!$B$39</f>
        <v>July</v>
      </c>
      <c r="C36" s="432">
        <f t="shared" si="1"/>
        <v>0</v>
      </c>
      <c r="D36" s="337" t="e">
        <f>IF(ISBLANK('IV. Data Inputs-PE'!$G$97), 'IV. Data Inputs-PE'!$F$97, 'IV. Data Inputs-PE'!$G$97)</f>
        <v>#DIV/0!</v>
      </c>
      <c r="E36" s="337">
        <f>'III. Data Inputs-BE'!E39</f>
        <v>31</v>
      </c>
      <c r="F36" s="385">
        <f>'III. Data Inputs-BE'!G39</f>
        <v>0</v>
      </c>
      <c r="G36" s="384">
        <f>MIN(0.95,MAX(0.104, EXP((15175*(('III. Data Inputs-BE'!C39+273)-303.16))/(1.987*('III. Data Inputs-BE'!C39+273)*303.16))))</f>
        <v>0.104</v>
      </c>
      <c r="H36" s="337">
        <f>'IV. Data Inputs-PE'!C116</f>
        <v>1</v>
      </c>
      <c r="I36" s="386">
        <f t="shared" si="2"/>
        <v>0</v>
      </c>
    </row>
    <row r="37" spans="2:9" x14ac:dyDescent="0.25">
      <c r="B37" s="312" t="str">
        <f>'III. Data Inputs-BE'!$B$40</f>
        <v>August</v>
      </c>
      <c r="C37" s="432">
        <f t="shared" si="1"/>
        <v>0</v>
      </c>
      <c r="D37" s="337" t="e">
        <f>IF(ISBLANK('IV. Data Inputs-PE'!$G$97), 'IV. Data Inputs-PE'!$F$97, 'IV. Data Inputs-PE'!$G$97)</f>
        <v>#DIV/0!</v>
      </c>
      <c r="E37" s="337">
        <f>'III. Data Inputs-BE'!E40</f>
        <v>31</v>
      </c>
      <c r="F37" s="385">
        <f>'III. Data Inputs-BE'!G40</f>
        <v>0</v>
      </c>
      <c r="G37" s="384">
        <f>MIN(0.95,MAX(0.104, EXP((15175*(('III. Data Inputs-BE'!C40+273)-303.16))/(1.987*('III. Data Inputs-BE'!C40+273)*303.16))))</f>
        <v>0.104</v>
      </c>
      <c r="H37" s="337">
        <f>'IV. Data Inputs-PE'!C117</f>
        <v>1</v>
      </c>
      <c r="I37" s="386">
        <f t="shared" si="2"/>
        <v>0</v>
      </c>
    </row>
    <row r="38" spans="2:9" x14ac:dyDescent="0.25">
      <c r="B38" s="312" t="str">
        <f>'III. Data Inputs-BE'!$B$41</f>
        <v>September</v>
      </c>
      <c r="C38" s="432">
        <f t="shared" si="1"/>
        <v>0</v>
      </c>
      <c r="D38" s="337" t="e">
        <f>IF(ISBLANK('IV. Data Inputs-PE'!$G$97), 'IV. Data Inputs-PE'!$F$97, 'IV. Data Inputs-PE'!$G$97)</f>
        <v>#DIV/0!</v>
      </c>
      <c r="E38" s="337">
        <f>'III. Data Inputs-BE'!E41</f>
        <v>30</v>
      </c>
      <c r="F38" s="385">
        <f>'III. Data Inputs-BE'!G41</f>
        <v>0</v>
      </c>
      <c r="G38" s="384">
        <f>MIN(0.95,MAX(0.104, EXP((15175*(('III. Data Inputs-BE'!C41+273)-303.16))/(1.987*('III. Data Inputs-BE'!C41+273)*303.16))))</f>
        <v>0.104</v>
      </c>
      <c r="H38" s="337">
        <f>'IV. Data Inputs-PE'!C118</f>
        <v>1</v>
      </c>
      <c r="I38" s="386">
        <f t="shared" si="2"/>
        <v>0</v>
      </c>
    </row>
    <row r="39" spans="2:9" x14ac:dyDescent="0.25">
      <c r="B39" s="312" t="str">
        <f>'III. Data Inputs-BE'!$B$42</f>
        <v>October</v>
      </c>
      <c r="C39" s="432">
        <f t="shared" si="1"/>
        <v>0</v>
      </c>
      <c r="D39" s="337" t="e">
        <f>IF(ISBLANK('IV. Data Inputs-PE'!$G$97), 'IV. Data Inputs-PE'!$F$97, 'IV. Data Inputs-PE'!$G$97)</f>
        <v>#DIV/0!</v>
      </c>
      <c r="E39" s="337">
        <f>'III. Data Inputs-BE'!E42</f>
        <v>31</v>
      </c>
      <c r="F39" s="385">
        <f>'III. Data Inputs-BE'!G42</f>
        <v>0</v>
      </c>
      <c r="G39" s="384">
        <f>MIN(0.95,MAX(0.104, EXP((15175*(('III. Data Inputs-BE'!C42+273)-303.16))/(1.987*('III. Data Inputs-BE'!C42+273)*303.16))))</f>
        <v>0.104</v>
      </c>
      <c r="H39" s="337">
        <f>'IV. Data Inputs-PE'!C119</f>
        <v>1</v>
      </c>
      <c r="I39" s="386">
        <f t="shared" si="2"/>
        <v>0</v>
      </c>
    </row>
    <row r="40" spans="2:9" x14ac:dyDescent="0.25">
      <c r="B40" s="312" t="str">
        <f>'III. Data Inputs-BE'!$B$43</f>
        <v>November</v>
      </c>
      <c r="C40" s="432">
        <f t="shared" si="1"/>
        <v>0</v>
      </c>
      <c r="D40" s="337" t="e">
        <f>IF(ISBLANK('IV. Data Inputs-PE'!$G$97), 'IV. Data Inputs-PE'!$F$97, 'IV. Data Inputs-PE'!$G$97)</f>
        <v>#DIV/0!</v>
      </c>
      <c r="E40" s="337">
        <f>'III. Data Inputs-BE'!E43</f>
        <v>30</v>
      </c>
      <c r="F40" s="385">
        <f>'III. Data Inputs-BE'!G43</f>
        <v>0</v>
      </c>
      <c r="G40" s="384">
        <f>MIN(0.95,MAX(0.104, EXP((15175*(('III. Data Inputs-BE'!C43+273)-303.16))/(1.987*('III. Data Inputs-BE'!C43+273)*303.16))))</f>
        <v>0.104</v>
      </c>
      <c r="H40" s="337">
        <f>'IV. Data Inputs-PE'!C120</f>
        <v>1</v>
      </c>
      <c r="I40" s="386">
        <f t="shared" si="2"/>
        <v>0</v>
      </c>
    </row>
    <row r="41" spans="2:9" x14ac:dyDescent="0.25">
      <c r="B41" s="312" t="str">
        <f>'III. Data Inputs-BE'!$B$44</f>
        <v>December</v>
      </c>
      <c r="C41" s="432">
        <f t="shared" si="1"/>
        <v>0</v>
      </c>
      <c r="D41" s="337" t="e">
        <f>IF(ISBLANK('IV. Data Inputs-PE'!$G$97), 'IV. Data Inputs-PE'!$F$97, 'IV. Data Inputs-PE'!$G$97)</f>
        <v>#DIV/0!</v>
      </c>
      <c r="E41" s="337">
        <f>'III. Data Inputs-BE'!E44</f>
        <v>31</v>
      </c>
      <c r="F41" s="385">
        <f>'III. Data Inputs-BE'!G44</f>
        <v>0</v>
      </c>
      <c r="G41" s="384">
        <f>MIN(0.95,MAX(0.104, EXP((15175*(('III. Data Inputs-BE'!C44+273)-303.16))/(1.987*('III. Data Inputs-BE'!C44+273)*303.16))))</f>
        <v>0.104</v>
      </c>
      <c r="H41" s="337">
        <f>'IV. Data Inputs-PE'!C121</f>
        <v>1</v>
      </c>
      <c r="I41" s="386">
        <f t="shared" si="2"/>
        <v>0</v>
      </c>
    </row>
    <row r="42" spans="2:9" ht="13" x14ac:dyDescent="0.3">
      <c r="H42" s="221" t="s">
        <v>464</v>
      </c>
      <c r="I42" s="387">
        <f>SUM(I30:I41)</f>
        <v>0</v>
      </c>
    </row>
    <row r="43" spans="2:9" ht="13" x14ac:dyDescent="0.3">
      <c r="H43" s="221"/>
      <c r="I43" s="389"/>
    </row>
    <row r="44" spans="2:9" ht="14" x14ac:dyDescent="0.3">
      <c r="B44" s="210" t="s">
        <v>465</v>
      </c>
      <c r="H44" s="221"/>
      <c r="I44" s="389"/>
    </row>
    <row r="46" spans="2:9" ht="15" x14ac:dyDescent="0.4">
      <c r="B46" s="3" t="s">
        <v>195</v>
      </c>
      <c r="C46" s="128" t="s">
        <v>458</v>
      </c>
      <c r="D46" s="128" t="s">
        <v>459</v>
      </c>
      <c r="E46" s="128" t="s">
        <v>460</v>
      </c>
      <c r="F46" s="128" t="s">
        <v>461</v>
      </c>
      <c r="G46" s="128" t="s">
        <v>466</v>
      </c>
      <c r="H46" s="128" t="s">
        <v>467</v>
      </c>
      <c r="I46" s="128" t="s">
        <v>468</v>
      </c>
    </row>
    <row r="47" spans="2:9" x14ac:dyDescent="0.25">
      <c r="B47" s="312" t="str">
        <f>'III. Data Inputs-BE'!B33</f>
        <v>January</v>
      </c>
      <c r="C47" s="432">
        <f t="shared" ref="C47:F57" si="3">C30</f>
        <v>0</v>
      </c>
      <c r="D47" s="337" t="e">
        <f t="shared" si="3"/>
        <v>#DIV/0!</v>
      </c>
      <c r="E47" s="337">
        <f t="shared" si="3"/>
        <v>31</v>
      </c>
      <c r="F47" s="337">
        <f t="shared" si="3"/>
        <v>0</v>
      </c>
      <c r="G47" s="337">
        <f>SUM('IV. Data Inputs-PE'!D110:F110)</f>
        <v>0</v>
      </c>
      <c r="H47" s="484">
        <f>IFERROR(SUMPRODUCT('IV. Data Inputs-PE'!D110:F110,'IV. Data Inputs-PE'!$D$122:$F$122)/SUM('IV. Data Inputs-PE'!D110:F110), 0)</f>
        <v>0</v>
      </c>
      <c r="I47" s="488">
        <f>IFERROR(C47*D47*F47*0.68*H47*0.001*G47, 0)</f>
        <v>0</v>
      </c>
    </row>
    <row r="48" spans="2:9" x14ac:dyDescent="0.25">
      <c r="B48" s="312" t="str">
        <f>'III. Data Inputs-BE'!B34</f>
        <v>February</v>
      </c>
      <c r="C48" s="432">
        <f t="shared" si="3"/>
        <v>0</v>
      </c>
      <c r="D48" s="337" t="e">
        <f t="shared" si="3"/>
        <v>#DIV/0!</v>
      </c>
      <c r="E48" s="337">
        <f t="shared" si="3"/>
        <v>28</v>
      </c>
      <c r="F48" s="337">
        <f t="shared" si="3"/>
        <v>0</v>
      </c>
      <c r="G48" s="337">
        <f>SUM('IV. Data Inputs-PE'!D111:F111)</f>
        <v>0</v>
      </c>
      <c r="H48" s="484">
        <f>IFERROR(SUMPRODUCT('IV. Data Inputs-PE'!D111:F111,'IV. Data Inputs-PE'!$D$122:$F$122)/SUM('IV. Data Inputs-PE'!D111:F111), 0)</f>
        <v>0</v>
      </c>
      <c r="I48" s="488">
        <f t="shared" ref="I48:I57" si="4">IFERROR(C48*D48*F48*0.68*H48*0.001*G48, 0)</f>
        <v>0</v>
      </c>
    </row>
    <row r="49" spans="2:9" x14ac:dyDescent="0.25">
      <c r="B49" s="312" t="str">
        <f>'III. Data Inputs-BE'!B35</f>
        <v>March</v>
      </c>
      <c r="C49" s="432">
        <f t="shared" si="3"/>
        <v>0</v>
      </c>
      <c r="D49" s="337" t="e">
        <f t="shared" si="3"/>
        <v>#DIV/0!</v>
      </c>
      <c r="E49" s="337">
        <f t="shared" si="3"/>
        <v>31</v>
      </c>
      <c r="F49" s="337">
        <f t="shared" si="3"/>
        <v>0</v>
      </c>
      <c r="G49" s="337">
        <f>SUM('IV. Data Inputs-PE'!D112:F112)</f>
        <v>0</v>
      </c>
      <c r="H49" s="484">
        <f>IFERROR(SUMPRODUCT('IV. Data Inputs-PE'!D112:F112,'IV. Data Inputs-PE'!$D$122:$F$122)/SUM('IV. Data Inputs-PE'!D112:F112), 0)</f>
        <v>0</v>
      </c>
      <c r="I49" s="488">
        <f t="shared" si="4"/>
        <v>0</v>
      </c>
    </row>
    <row r="50" spans="2:9" x14ac:dyDescent="0.25">
      <c r="B50" s="312" t="str">
        <f>'III. Data Inputs-BE'!B36</f>
        <v>April</v>
      </c>
      <c r="C50" s="432">
        <f t="shared" si="3"/>
        <v>0</v>
      </c>
      <c r="D50" s="337" t="e">
        <f t="shared" si="3"/>
        <v>#DIV/0!</v>
      </c>
      <c r="E50" s="337">
        <f t="shared" si="3"/>
        <v>30</v>
      </c>
      <c r="F50" s="337">
        <f t="shared" si="3"/>
        <v>0</v>
      </c>
      <c r="G50" s="337">
        <f>SUM('IV. Data Inputs-PE'!D113:F113)</f>
        <v>0</v>
      </c>
      <c r="H50" s="484">
        <f>IFERROR(SUMPRODUCT('IV. Data Inputs-PE'!D113:F113,'IV. Data Inputs-PE'!$D$122:$F$122)/SUM('IV. Data Inputs-PE'!D113:F113), 0)</f>
        <v>0</v>
      </c>
      <c r="I50" s="488">
        <f t="shared" si="4"/>
        <v>0</v>
      </c>
    </row>
    <row r="51" spans="2:9" x14ac:dyDescent="0.25">
      <c r="B51" s="312" t="str">
        <f>'III. Data Inputs-BE'!B37</f>
        <v>May</v>
      </c>
      <c r="C51" s="432">
        <f t="shared" si="3"/>
        <v>0</v>
      </c>
      <c r="D51" s="337" t="e">
        <f t="shared" si="3"/>
        <v>#DIV/0!</v>
      </c>
      <c r="E51" s="337">
        <f t="shared" si="3"/>
        <v>31</v>
      </c>
      <c r="F51" s="337">
        <f t="shared" si="3"/>
        <v>0</v>
      </c>
      <c r="G51" s="337">
        <f>SUM('IV. Data Inputs-PE'!D114:F114)</f>
        <v>0</v>
      </c>
      <c r="H51" s="484">
        <f>IFERROR(SUMPRODUCT('IV. Data Inputs-PE'!D114:F114,'IV. Data Inputs-PE'!$D$122:$F$122)/SUM('IV. Data Inputs-PE'!D114:F114), 0)</f>
        <v>0</v>
      </c>
      <c r="I51" s="488">
        <f t="shared" si="4"/>
        <v>0</v>
      </c>
    </row>
    <row r="52" spans="2:9" x14ac:dyDescent="0.25">
      <c r="B52" s="312" t="str">
        <f>'III. Data Inputs-BE'!B38</f>
        <v>June</v>
      </c>
      <c r="C52" s="432">
        <f t="shared" si="3"/>
        <v>0</v>
      </c>
      <c r="D52" s="337" t="e">
        <f t="shared" si="3"/>
        <v>#DIV/0!</v>
      </c>
      <c r="E52" s="337">
        <f t="shared" si="3"/>
        <v>30</v>
      </c>
      <c r="F52" s="337">
        <f t="shared" si="3"/>
        <v>0</v>
      </c>
      <c r="G52" s="337">
        <f>SUM('IV. Data Inputs-PE'!D115:F115)</f>
        <v>0</v>
      </c>
      <c r="H52" s="484">
        <f>IFERROR(SUMPRODUCT('IV. Data Inputs-PE'!D115:F115,'IV. Data Inputs-PE'!$D$122:$F$122)/SUM('IV. Data Inputs-PE'!D115:F115), 0)</f>
        <v>0</v>
      </c>
      <c r="I52" s="488">
        <f t="shared" si="4"/>
        <v>0</v>
      </c>
    </row>
    <row r="53" spans="2:9" x14ac:dyDescent="0.25">
      <c r="B53" s="312" t="str">
        <f>'III. Data Inputs-BE'!B39</f>
        <v>July</v>
      </c>
      <c r="C53" s="432">
        <f t="shared" si="3"/>
        <v>0</v>
      </c>
      <c r="D53" s="337" t="e">
        <f t="shared" si="3"/>
        <v>#DIV/0!</v>
      </c>
      <c r="E53" s="337">
        <f t="shared" si="3"/>
        <v>31</v>
      </c>
      <c r="F53" s="337">
        <f t="shared" si="3"/>
        <v>0</v>
      </c>
      <c r="G53" s="337">
        <f>SUM('IV. Data Inputs-PE'!D116:F116)</f>
        <v>0</v>
      </c>
      <c r="H53" s="484">
        <f>IFERROR(SUMPRODUCT('IV. Data Inputs-PE'!D116:F116,'IV. Data Inputs-PE'!$D$122:$F$122)/SUM('IV. Data Inputs-PE'!D116:F116), 0)</f>
        <v>0</v>
      </c>
      <c r="I53" s="488">
        <f t="shared" si="4"/>
        <v>0</v>
      </c>
    </row>
    <row r="54" spans="2:9" x14ac:dyDescent="0.25">
      <c r="B54" s="312" t="str">
        <f>'III. Data Inputs-BE'!B40</f>
        <v>August</v>
      </c>
      <c r="C54" s="432">
        <f t="shared" si="3"/>
        <v>0</v>
      </c>
      <c r="D54" s="337" t="e">
        <f t="shared" si="3"/>
        <v>#DIV/0!</v>
      </c>
      <c r="E54" s="337">
        <f t="shared" si="3"/>
        <v>31</v>
      </c>
      <c r="F54" s="337">
        <f t="shared" si="3"/>
        <v>0</v>
      </c>
      <c r="G54" s="337">
        <f>SUM('IV. Data Inputs-PE'!D117:F117)</f>
        <v>0</v>
      </c>
      <c r="H54" s="484">
        <f>IFERROR(SUMPRODUCT('IV. Data Inputs-PE'!D117:F117,'IV. Data Inputs-PE'!$D$122:$F$122)/SUM('IV. Data Inputs-PE'!D117:F117), 0)</f>
        <v>0</v>
      </c>
      <c r="I54" s="488">
        <f t="shared" si="4"/>
        <v>0</v>
      </c>
    </row>
    <row r="55" spans="2:9" x14ac:dyDescent="0.25">
      <c r="B55" s="312" t="str">
        <f>'III. Data Inputs-BE'!B41</f>
        <v>September</v>
      </c>
      <c r="C55" s="432">
        <f t="shared" si="3"/>
        <v>0</v>
      </c>
      <c r="D55" s="337" t="e">
        <f t="shared" si="3"/>
        <v>#DIV/0!</v>
      </c>
      <c r="E55" s="337">
        <f t="shared" si="3"/>
        <v>30</v>
      </c>
      <c r="F55" s="337">
        <f t="shared" si="3"/>
        <v>0</v>
      </c>
      <c r="G55" s="337">
        <f>SUM('IV. Data Inputs-PE'!D118:F118)</f>
        <v>0</v>
      </c>
      <c r="H55" s="484">
        <f>IFERROR(SUMPRODUCT('IV. Data Inputs-PE'!D118:F118,'IV. Data Inputs-PE'!$D$122:$F$122)/SUM('IV. Data Inputs-PE'!D118:F118), 0)</f>
        <v>0</v>
      </c>
      <c r="I55" s="488">
        <f t="shared" si="4"/>
        <v>0</v>
      </c>
    </row>
    <row r="56" spans="2:9" x14ac:dyDescent="0.25">
      <c r="B56" s="312" t="str">
        <f>'III. Data Inputs-BE'!B42</f>
        <v>October</v>
      </c>
      <c r="C56" s="432">
        <f t="shared" si="3"/>
        <v>0</v>
      </c>
      <c r="D56" s="337" t="e">
        <f t="shared" si="3"/>
        <v>#DIV/0!</v>
      </c>
      <c r="E56" s="337">
        <f t="shared" si="3"/>
        <v>31</v>
      </c>
      <c r="F56" s="337">
        <f t="shared" si="3"/>
        <v>0</v>
      </c>
      <c r="G56" s="337">
        <f>SUM('IV. Data Inputs-PE'!D119:F119)</f>
        <v>0</v>
      </c>
      <c r="H56" s="484">
        <f>IFERROR(SUMPRODUCT('IV. Data Inputs-PE'!D119:F119,'IV. Data Inputs-PE'!$D$122:$F$122)/SUM('IV. Data Inputs-PE'!D119:F119), 0)</f>
        <v>0</v>
      </c>
      <c r="I56" s="488">
        <f t="shared" si="4"/>
        <v>0</v>
      </c>
    </row>
    <row r="57" spans="2:9" x14ac:dyDescent="0.25">
      <c r="B57" s="312" t="str">
        <f>'III. Data Inputs-BE'!B43</f>
        <v>November</v>
      </c>
      <c r="C57" s="487">
        <f t="shared" si="3"/>
        <v>0</v>
      </c>
      <c r="D57" s="431" t="e">
        <f t="shared" si="3"/>
        <v>#DIV/0!</v>
      </c>
      <c r="E57" s="431">
        <f t="shared" si="3"/>
        <v>30</v>
      </c>
      <c r="F57" s="431">
        <f t="shared" si="3"/>
        <v>0</v>
      </c>
      <c r="G57" s="337">
        <f>SUM('IV. Data Inputs-PE'!D120:F120)</f>
        <v>0</v>
      </c>
      <c r="H57" s="484">
        <f>IFERROR(SUMPRODUCT('IV. Data Inputs-PE'!D120:F120,'IV. Data Inputs-PE'!$D$122:$F$122)/SUM('IV. Data Inputs-PE'!D120:F120), 0)</f>
        <v>0</v>
      </c>
      <c r="I57" s="488">
        <f t="shared" si="4"/>
        <v>0</v>
      </c>
    </row>
    <row r="58" spans="2:9" ht="13" x14ac:dyDescent="0.3">
      <c r="B58" s="26"/>
      <c r="C58" s="485"/>
      <c r="D58" s="485"/>
      <c r="E58" s="485"/>
      <c r="F58" s="485"/>
      <c r="I58" s="489">
        <f>SUM(I47:I57)</f>
        <v>0</v>
      </c>
    </row>
    <row r="60" spans="2:9" ht="14" x14ac:dyDescent="0.3">
      <c r="B60" s="210" t="s">
        <v>469</v>
      </c>
    </row>
    <row r="62" spans="2:9" ht="15" x14ac:dyDescent="0.4">
      <c r="B62" s="243" t="s">
        <v>470</v>
      </c>
      <c r="C62" s="490">
        <f>I42</f>
        <v>0</v>
      </c>
    </row>
    <row r="63" spans="2:9" ht="15" x14ac:dyDescent="0.4">
      <c r="B63" s="391" t="s">
        <v>471</v>
      </c>
      <c r="C63" s="491">
        <f>I58</f>
        <v>0</v>
      </c>
    </row>
    <row r="64" spans="2:9" ht="15.5" x14ac:dyDescent="0.4">
      <c r="B64" s="243" t="s">
        <v>472</v>
      </c>
      <c r="C64" s="490">
        <f>SUM(C62:C63)</f>
        <v>0</v>
      </c>
      <c r="D64" s="13" t="s">
        <v>473</v>
      </c>
    </row>
    <row r="66" spans="2:6" x14ac:dyDescent="0.25">
      <c r="B66" s="560" t="s">
        <v>229</v>
      </c>
      <c r="C66" s="560"/>
      <c r="D66" s="560"/>
      <c r="E66" s="560"/>
      <c r="F66" s="560"/>
    </row>
    <row r="67" spans="2:6" x14ac:dyDescent="0.25">
      <c r="B67" s="560"/>
      <c r="C67" s="560"/>
      <c r="D67" s="560"/>
      <c r="E67" s="560"/>
      <c r="F67" s="560"/>
    </row>
    <row r="68" spans="2:6" x14ac:dyDescent="0.25">
      <c r="B68" s="560"/>
      <c r="C68" s="560"/>
      <c r="D68" s="560"/>
      <c r="E68" s="560"/>
      <c r="F68" s="560"/>
    </row>
    <row r="69" spans="2:6" x14ac:dyDescent="0.25">
      <c r="B69" s="560"/>
      <c r="C69" s="560"/>
      <c r="D69" s="560"/>
      <c r="E69" s="560"/>
      <c r="F69" s="560"/>
    </row>
    <row r="70" spans="2:6" x14ac:dyDescent="0.25">
      <c r="B70" s="560"/>
      <c r="C70" s="560"/>
      <c r="D70" s="560"/>
      <c r="E70" s="560"/>
      <c r="F70" s="560"/>
    </row>
    <row r="71" spans="2:6" x14ac:dyDescent="0.25">
      <c r="B71" s="560"/>
      <c r="C71" s="560"/>
      <c r="D71" s="560"/>
      <c r="E71" s="560"/>
      <c r="F71" s="560"/>
    </row>
    <row r="72" spans="2:6" x14ac:dyDescent="0.25">
      <c r="B72" s="560"/>
      <c r="C72" s="560"/>
      <c r="D72" s="560"/>
      <c r="E72" s="560"/>
      <c r="F72" s="560"/>
    </row>
  </sheetData>
  <sheetProtection algorithmName="SHA-512" hashValue="rdU1vUat6df6N+kBGNR0TQBX/bNTLovUTB9uDuTWcAqFn6lzWSndjxYZR0PPHd90EDHYnDTPm1omhAP2xRkCDw==" saltValue="Rwx9brouce4J3WUwgC3C5g==" spinCount="100000" sheet="1" objects="1" scenarios="1"/>
  <customSheetViews>
    <customSheetView guid="{A6F5A5FB-2E6E-47D3-842C-0D3D06DB341A}" scale="75">
      <selection activeCell="B2" sqref="B2"/>
      <pageMargins left="0" right="0" top="0" bottom="0" header="0" footer="0"/>
      <pageSetup scale="73" orientation="landscape" horizontalDpi="1200" verticalDpi="1200" r:id="rId1"/>
      <headerFooter alignWithMargins="0"/>
    </customSheetView>
  </customSheetViews>
  <mergeCells count="1">
    <mergeCell ref="B66:F72"/>
  </mergeCells>
  <phoneticPr fontId="2" type="noConversion"/>
  <pageMargins left="0.75" right="0.75" top="1" bottom="1" header="0.5" footer="0.5"/>
  <pageSetup scale="73" orientation="landscape" horizontalDpi="1200" verticalDpi="1200" r:id="rId2"/>
  <headerFooter alignWithMargins="0"/>
  <ignoredErrors>
    <ignoredError sqref="G47:G57"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B1:W253"/>
  <sheetViews>
    <sheetView showGridLines="0" topLeftCell="A85" zoomScale="80" zoomScaleNormal="80" workbookViewId="0">
      <selection activeCell="E105" sqref="E105"/>
    </sheetView>
  </sheetViews>
  <sheetFormatPr defaultColWidth="9.1796875" defaultRowHeight="13" x14ac:dyDescent="0.3"/>
  <cols>
    <col min="1" max="1" width="4.453125" style="13" customWidth="1"/>
    <col min="2" max="2" width="37.26953125" style="26" customWidth="1"/>
    <col min="3" max="3" width="33" style="13" bestFit="1" customWidth="1"/>
    <col min="4" max="4" width="13.1796875" style="13" customWidth="1"/>
    <col min="5" max="5" width="38.26953125" style="58" customWidth="1"/>
    <col min="6" max="6" width="19.1796875" style="230" bestFit="1" customWidth="1"/>
    <col min="7" max="7" width="16" style="13" bestFit="1" customWidth="1"/>
    <col min="8" max="8" width="19.26953125" style="13" bestFit="1" customWidth="1"/>
    <col min="9" max="16384" width="9.1796875" style="13"/>
  </cols>
  <sheetData>
    <row r="1" spans="2:23" ht="17.25" customHeight="1" x14ac:dyDescent="0.3">
      <c r="B1" s="14" t="s">
        <v>0</v>
      </c>
    </row>
    <row r="2" spans="2:23" x14ac:dyDescent="0.3">
      <c r="B2" s="14" t="s">
        <v>116</v>
      </c>
    </row>
    <row r="3" spans="2:23" x14ac:dyDescent="0.3">
      <c r="B3" s="14"/>
    </row>
    <row r="4" spans="2:23" ht="18" x14ac:dyDescent="0.4">
      <c r="B4" s="181" t="s">
        <v>474</v>
      </c>
    </row>
    <row r="5" spans="2:23" x14ac:dyDescent="0.3">
      <c r="B5" s="100"/>
    </row>
    <row r="6" spans="2:23" x14ac:dyDescent="0.3">
      <c r="B6" s="3" t="s">
        <v>118</v>
      </c>
      <c r="C6" s="26"/>
      <c r="D6" s="27"/>
      <c r="E6" s="57"/>
      <c r="F6" s="231"/>
      <c r="G6" s="46"/>
      <c r="H6" s="46"/>
      <c r="I6" s="46"/>
    </row>
    <row r="7" spans="2:23" x14ac:dyDescent="0.3">
      <c r="B7" s="94" t="s">
        <v>119</v>
      </c>
      <c r="C7" s="95" t="s">
        <v>174</v>
      </c>
      <c r="D7" s="222"/>
      <c r="E7" s="126"/>
      <c r="F7" s="232"/>
      <c r="G7" s="51"/>
      <c r="H7" s="51"/>
      <c r="I7" s="46"/>
      <c r="T7" s="223"/>
      <c r="U7" s="223"/>
      <c r="V7" s="223"/>
      <c r="W7" s="223"/>
    </row>
    <row r="8" spans="2:23" x14ac:dyDescent="0.3">
      <c r="B8" s="165" t="s">
        <v>121</v>
      </c>
      <c r="C8" s="98" t="s">
        <v>122</v>
      </c>
      <c r="D8" s="99"/>
      <c r="E8" s="57"/>
      <c r="F8" s="34"/>
      <c r="G8" s="51"/>
      <c r="H8" s="51"/>
      <c r="I8" s="46"/>
      <c r="T8" s="223"/>
      <c r="U8" s="223"/>
      <c r="V8" s="223"/>
      <c r="W8" s="223"/>
    </row>
    <row r="9" spans="2:23" x14ac:dyDescent="0.3">
      <c r="B9" s="251" t="s">
        <v>179</v>
      </c>
      <c r="C9" s="248" t="s">
        <v>180</v>
      </c>
      <c r="D9" s="249"/>
      <c r="E9" s="57"/>
      <c r="F9" s="34"/>
      <c r="G9" s="51"/>
      <c r="H9" s="51"/>
      <c r="I9" s="46"/>
      <c r="T9" s="223"/>
      <c r="U9" s="223"/>
      <c r="V9" s="223"/>
      <c r="W9" s="223"/>
    </row>
    <row r="10" spans="2:23" x14ac:dyDescent="0.3">
      <c r="E10" s="57"/>
      <c r="F10" s="34"/>
      <c r="G10" s="51"/>
      <c r="H10" s="51"/>
      <c r="I10" s="46"/>
    </row>
    <row r="11" spans="2:23" x14ac:dyDescent="0.3">
      <c r="B11" s="100" t="s">
        <v>282</v>
      </c>
      <c r="F11" s="34"/>
      <c r="G11" s="51"/>
      <c r="H11" s="51"/>
    </row>
    <row r="12" spans="2:23" x14ac:dyDescent="0.3">
      <c r="B12" s="101"/>
    </row>
    <row r="13" spans="2:23" ht="15.5" x14ac:dyDescent="0.35">
      <c r="B13" s="89" t="s">
        <v>475</v>
      </c>
    </row>
    <row r="14" spans="2:23" ht="44.25" customHeight="1" x14ac:dyDescent="0.25">
      <c r="B14" s="563" t="s">
        <v>476</v>
      </c>
      <c r="C14" s="563"/>
      <c r="D14" s="563"/>
      <c r="E14" s="563"/>
      <c r="F14" s="233"/>
      <c r="G14" s="36"/>
      <c r="H14" s="36"/>
      <c r="I14" s="36"/>
      <c r="J14" s="36"/>
      <c r="K14" s="36"/>
      <c r="L14" s="36"/>
    </row>
    <row r="15" spans="2:23" x14ac:dyDescent="0.3">
      <c r="B15" s="109"/>
    </row>
    <row r="16" spans="2:23" x14ac:dyDescent="0.3">
      <c r="B16" s="626" t="str">
        <f>'III. Data Inputs-BE'!B51</f>
        <v>Population 1</v>
      </c>
      <c r="C16" s="627"/>
      <c r="E16" s="41"/>
      <c r="N16" s="27"/>
    </row>
    <row r="17" spans="2:14" ht="15" x14ac:dyDescent="0.4">
      <c r="B17" s="243" t="s">
        <v>477</v>
      </c>
      <c r="C17" s="531">
        <f>'VI. BE CH4,nAS'!E18</f>
        <v>0</v>
      </c>
      <c r="D17" s="224"/>
      <c r="E17" s="225"/>
      <c r="F17" s="234"/>
      <c r="G17" s="224"/>
      <c r="H17" s="224"/>
      <c r="I17" s="224"/>
      <c r="J17" s="224"/>
      <c r="N17" s="27"/>
    </row>
    <row r="18" spans="2:14" ht="16" x14ac:dyDescent="0.4">
      <c r="B18" s="243" t="s">
        <v>478</v>
      </c>
      <c r="C18" s="532">
        <f>'III. Data Inputs-BE'!C107</f>
        <v>0.17</v>
      </c>
      <c r="D18" s="224"/>
      <c r="E18" s="225"/>
      <c r="F18" s="234"/>
      <c r="G18" s="224"/>
      <c r="H18" s="224"/>
      <c r="I18" s="224"/>
      <c r="J18" s="224"/>
      <c r="N18" s="27"/>
    </row>
    <row r="19" spans="2:14" x14ac:dyDescent="0.3">
      <c r="B19" s="100"/>
      <c r="C19" s="36"/>
      <c r="D19" s="224"/>
      <c r="E19" s="225"/>
      <c r="F19" s="234"/>
      <c r="G19" s="224"/>
      <c r="H19" s="224"/>
      <c r="I19" s="224"/>
      <c r="J19" s="224"/>
      <c r="N19" s="27"/>
    </row>
    <row r="20" spans="2:14" s="4" customFormat="1" ht="28" x14ac:dyDescent="0.4">
      <c r="B20" s="365" t="s">
        <v>479</v>
      </c>
      <c r="C20" s="128" t="s">
        <v>480</v>
      </c>
      <c r="D20" s="128" t="s">
        <v>481</v>
      </c>
      <c r="E20" s="128" t="s">
        <v>482</v>
      </c>
      <c r="F20" s="412" t="s">
        <v>483</v>
      </c>
      <c r="G20" s="57"/>
    </row>
    <row r="21" spans="2:14" ht="12.5" x14ac:dyDescent="0.25">
      <c r="B21" s="533">
        <f>'IV. Data Inputs-PE'!$B$129</f>
        <v>0</v>
      </c>
      <c r="C21" s="175">
        <f>'IV. Data Inputs-PE'!$C$129</f>
        <v>0</v>
      </c>
      <c r="D21" s="175">
        <f>'IV. Data Inputs-PE'!C146</f>
        <v>0</v>
      </c>
      <c r="E21" s="176">
        <f>C21*D21</f>
        <v>0</v>
      </c>
      <c r="F21" s="625"/>
      <c r="G21" s="41"/>
    </row>
    <row r="22" spans="2:14" ht="12.5" x14ac:dyDescent="0.25">
      <c r="B22" s="533">
        <f>'IV. Data Inputs-PE'!$B$130</f>
        <v>0</v>
      </c>
      <c r="C22" s="175">
        <f>'IV. Data Inputs-PE'!$C$130</f>
        <v>0</v>
      </c>
      <c r="D22" s="175">
        <f>'IV. Data Inputs-PE'!C147</f>
        <v>0</v>
      </c>
      <c r="E22" s="176">
        <f t="shared" ref="E22:E32" si="0">C22*D22</f>
        <v>0</v>
      </c>
      <c r="F22" s="625"/>
      <c r="G22" s="69"/>
    </row>
    <row r="23" spans="2:14" ht="12.5" x14ac:dyDescent="0.25">
      <c r="B23" s="533">
        <f>'IV. Data Inputs-PE'!$B$132</f>
        <v>0</v>
      </c>
      <c r="C23" s="175">
        <f>'IV. Data Inputs-PE'!$C$132</f>
        <v>0</v>
      </c>
      <c r="D23" s="175">
        <f>'IV. Data Inputs-PE'!C150</f>
        <v>0</v>
      </c>
      <c r="E23" s="176">
        <f t="shared" si="0"/>
        <v>0</v>
      </c>
      <c r="F23" s="625"/>
      <c r="G23" s="41"/>
    </row>
    <row r="24" spans="2:14" ht="12.5" x14ac:dyDescent="0.25">
      <c r="B24" s="533">
        <f>'IV. Data Inputs-PE'!$B$133</f>
        <v>0</v>
      </c>
      <c r="C24" s="175">
        <f>'IV. Data Inputs-PE'!$C$133</f>
        <v>0</v>
      </c>
      <c r="D24" s="175">
        <f>'IV. Data Inputs-PE'!C151</f>
        <v>0</v>
      </c>
      <c r="E24" s="176">
        <f t="shared" si="0"/>
        <v>0</v>
      </c>
      <c r="F24" s="625"/>
      <c r="G24" s="41"/>
    </row>
    <row r="25" spans="2:14" ht="12.5" x14ac:dyDescent="0.25">
      <c r="B25" s="533">
        <f>'IV. Data Inputs-PE'!$B$134</f>
        <v>0</v>
      </c>
      <c r="C25" s="175">
        <f>'IV. Data Inputs-PE'!$C$134</f>
        <v>0</v>
      </c>
      <c r="D25" s="175">
        <f>'IV. Data Inputs-PE'!C152</f>
        <v>0</v>
      </c>
      <c r="E25" s="176">
        <f t="shared" si="0"/>
        <v>0</v>
      </c>
      <c r="F25" s="625"/>
      <c r="G25" s="41"/>
    </row>
    <row r="26" spans="2:14" ht="12.5" x14ac:dyDescent="0.25">
      <c r="B26" s="533">
        <f>'IV. Data Inputs-PE'!$B$135</f>
        <v>0</v>
      </c>
      <c r="C26" s="175">
        <f>'IV. Data Inputs-PE'!$C$135</f>
        <v>0</v>
      </c>
      <c r="D26" s="175">
        <f>'IV. Data Inputs-PE'!C153</f>
        <v>0</v>
      </c>
      <c r="E26" s="176">
        <f t="shared" si="0"/>
        <v>0</v>
      </c>
      <c r="F26" s="625"/>
      <c r="G26" s="41"/>
    </row>
    <row r="27" spans="2:14" ht="12.5" x14ac:dyDescent="0.25">
      <c r="B27" s="533">
        <f>'IV. Data Inputs-PE'!$B$136</f>
        <v>0</v>
      </c>
      <c r="C27" s="175">
        <f>'IV. Data Inputs-PE'!$C$136</f>
        <v>0</v>
      </c>
      <c r="D27" s="175">
        <f>'IV. Data Inputs-PE'!C154</f>
        <v>0</v>
      </c>
      <c r="E27" s="176">
        <f t="shared" si="0"/>
        <v>0</v>
      </c>
      <c r="F27" s="625"/>
      <c r="G27" s="41"/>
    </row>
    <row r="28" spans="2:14" ht="12.5" x14ac:dyDescent="0.25">
      <c r="B28" s="533">
        <f>'IV. Data Inputs-PE'!$B$137</f>
        <v>0</v>
      </c>
      <c r="C28" s="175">
        <f>'IV. Data Inputs-PE'!$C$137</f>
        <v>0</v>
      </c>
      <c r="D28" s="175">
        <f>'IV. Data Inputs-PE'!C155</f>
        <v>0</v>
      </c>
      <c r="E28" s="176">
        <f t="shared" si="0"/>
        <v>0</v>
      </c>
      <c r="F28" s="625"/>
      <c r="G28" s="41"/>
    </row>
    <row r="29" spans="2:14" ht="12.5" x14ac:dyDescent="0.25">
      <c r="B29" s="533">
        <f>'IV. Data Inputs-PE'!$B$138</f>
        <v>0</v>
      </c>
      <c r="C29" s="175">
        <f>'IV. Data Inputs-PE'!$C$138</f>
        <v>0</v>
      </c>
      <c r="D29" s="175">
        <f>'IV. Data Inputs-PE'!C156</f>
        <v>0</v>
      </c>
      <c r="E29" s="176">
        <f t="shared" si="0"/>
        <v>0</v>
      </c>
      <c r="F29" s="625"/>
      <c r="G29" s="41"/>
    </row>
    <row r="30" spans="2:14" ht="12.5" x14ac:dyDescent="0.25">
      <c r="B30" s="533">
        <f>'IV. Data Inputs-PE'!$B$139</f>
        <v>0</v>
      </c>
      <c r="C30" s="175">
        <f>'IV. Data Inputs-PE'!$C$139</f>
        <v>0</v>
      </c>
      <c r="D30" s="175">
        <f>'IV. Data Inputs-PE'!C157</f>
        <v>0</v>
      </c>
      <c r="E30" s="176">
        <f t="shared" si="0"/>
        <v>0</v>
      </c>
      <c r="F30" s="625"/>
      <c r="G30" s="41"/>
    </row>
    <row r="31" spans="2:14" ht="12.5" x14ac:dyDescent="0.25">
      <c r="B31" s="533">
        <f>'IV. Data Inputs-PE'!$B$140</f>
        <v>0</v>
      </c>
      <c r="C31" s="175">
        <f>'IV. Data Inputs-PE'!$C$140</f>
        <v>0</v>
      </c>
      <c r="D31" s="175">
        <f>'IV. Data Inputs-PE'!C158</f>
        <v>0</v>
      </c>
      <c r="E31" s="176">
        <f t="shared" si="0"/>
        <v>0</v>
      </c>
      <c r="F31" s="625"/>
      <c r="G31" s="41"/>
    </row>
    <row r="32" spans="2:14" ht="12.5" x14ac:dyDescent="0.25">
      <c r="B32" s="533">
        <f>'IV. Data Inputs-PE'!$B$141</f>
        <v>0</v>
      </c>
      <c r="C32" s="175">
        <f>'IV. Data Inputs-PE'!$C$141</f>
        <v>0</v>
      </c>
      <c r="D32" s="175">
        <f>'IV. Data Inputs-PE'!C159</f>
        <v>0</v>
      </c>
      <c r="E32" s="176">
        <f t="shared" si="0"/>
        <v>0</v>
      </c>
      <c r="F32" s="625"/>
      <c r="G32" s="41"/>
    </row>
    <row r="33" spans="2:11" x14ac:dyDescent="0.3">
      <c r="B33" s="243" t="s">
        <v>414</v>
      </c>
      <c r="C33" s="176">
        <f>SUM(C21:C32)</f>
        <v>0</v>
      </c>
      <c r="D33" s="176">
        <f>SUM(D21:D32)</f>
        <v>0</v>
      </c>
      <c r="E33" s="176">
        <f>SUM(E21:E32)</f>
        <v>0</v>
      </c>
      <c r="F33" s="239">
        <f>(C17*C18*'III. Data Inputs-BE'!G45*0.68)*(E33)</f>
        <v>0</v>
      </c>
      <c r="G33" s="41"/>
    </row>
    <row r="34" spans="2:11" x14ac:dyDescent="0.3">
      <c r="B34" s="100"/>
      <c r="E34" s="13"/>
      <c r="F34" s="235"/>
      <c r="G34" s="41"/>
    </row>
    <row r="35" spans="2:11" x14ac:dyDescent="0.3">
      <c r="B35" s="100"/>
      <c r="E35" s="13"/>
      <c r="F35" s="235"/>
      <c r="G35" s="41"/>
    </row>
    <row r="36" spans="2:11" ht="13.5" customHeight="1" x14ac:dyDescent="0.3">
      <c r="B36" s="628" t="str">
        <f>'III. Data Inputs-BE'!B52</f>
        <v>Population 2</v>
      </c>
      <c r="C36" s="629"/>
      <c r="D36" s="109"/>
      <c r="E36" s="109"/>
      <c r="F36" s="236"/>
      <c r="G36" s="73"/>
      <c r="H36" s="109"/>
      <c r="I36" s="109"/>
      <c r="J36" s="109"/>
      <c r="K36" s="109"/>
    </row>
    <row r="37" spans="2:11" ht="15" x14ac:dyDescent="0.4">
      <c r="B37" s="243" t="s">
        <v>477</v>
      </c>
      <c r="C37" s="531">
        <f>'VI. BE CH4,nAS'!E19</f>
        <v>0</v>
      </c>
      <c r="D37" s="224"/>
      <c r="E37" s="224"/>
      <c r="F37" s="237"/>
      <c r="G37" s="226"/>
      <c r="H37" s="224"/>
      <c r="I37" s="224"/>
      <c r="J37" s="224"/>
      <c r="K37" s="224"/>
    </row>
    <row r="38" spans="2:11" ht="16" x14ac:dyDescent="0.4">
      <c r="B38" s="243" t="s">
        <v>478</v>
      </c>
      <c r="C38" s="532">
        <f>'III. Data Inputs-BE'!C108</f>
        <v>0.17</v>
      </c>
      <c r="D38" s="224"/>
      <c r="E38" s="224"/>
      <c r="F38" s="237"/>
      <c r="G38" s="226"/>
      <c r="H38" s="224"/>
      <c r="I38" s="224"/>
      <c r="J38" s="224"/>
      <c r="K38" s="224"/>
    </row>
    <row r="39" spans="2:11" x14ac:dyDescent="0.3">
      <c r="B39" s="100"/>
      <c r="C39" s="36"/>
      <c r="D39" s="224"/>
      <c r="E39" s="224"/>
      <c r="F39" s="237"/>
      <c r="G39" s="226"/>
      <c r="H39" s="224"/>
      <c r="I39" s="224"/>
      <c r="J39" s="224"/>
      <c r="K39" s="224"/>
    </row>
    <row r="40" spans="2:11" s="4" customFormat="1" ht="28" x14ac:dyDescent="0.4">
      <c r="B40" s="365" t="s">
        <v>479</v>
      </c>
      <c r="C40" s="128" t="s">
        <v>480</v>
      </c>
      <c r="D40" s="128" t="s">
        <v>481</v>
      </c>
      <c r="E40" s="128" t="s">
        <v>482</v>
      </c>
      <c r="F40" s="412" t="s">
        <v>483</v>
      </c>
      <c r="G40" s="57"/>
    </row>
    <row r="41" spans="2:11" ht="12.5" x14ac:dyDescent="0.25">
      <c r="B41" s="533">
        <f>'IV. Data Inputs-PE'!$B$129</f>
        <v>0</v>
      </c>
      <c r="C41" s="175">
        <f>'IV. Data Inputs-PE'!$C$129</f>
        <v>0</v>
      </c>
      <c r="D41" s="175">
        <f>'IV. Data Inputs-PE'!D146</f>
        <v>0</v>
      </c>
      <c r="E41" s="176">
        <f>C41*D41</f>
        <v>0</v>
      </c>
      <c r="F41" s="625"/>
      <c r="G41" s="41"/>
    </row>
    <row r="42" spans="2:11" ht="12.5" x14ac:dyDescent="0.25">
      <c r="B42" s="533">
        <f>'IV. Data Inputs-PE'!$B$130</f>
        <v>0</v>
      </c>
      <c r="C42" s="175">
        <f>'IV. Data Inputs-PE'!$C$130</f>
        <v>0</v>
      </c>
      <c r="D42" s="175">
        <f>'IV. Data Inputs-PE'!D147</f>
        <v>0</v>
      </c>
      <c r="E42" s="176">
        <f t="shared" ref="E42:E52" si="1">C42*D42</f>
        <v>0</v>
      </c>
      <c r="F42" s="625"/>
      <c r="G42" s="41"/>
    </row>
    <row r="43" spans="2:11" ht="12.5" x14ac:dyDescent="0.25">
      <c r="B43" s="533">
        <f>'IV. Data Inputs-PE'!$B$132</f>
        <v>0</v>
      </c>
      <c r="C43" s="175">
        <f>'IV. Data Inputs-PE'!$C$132</f>
        <v>0</v>
      </c>
      <c r="D43" s="175">
        <f>'IV. Data Inputs-PE'!D150</f>
        <v>0</v>
      </c>
      <c r="E43" s="176">
        <f t="shared" si="1"/>
        <v>0</v>
      </c>
      <c r="F43" s="625"/>
      <c r="G43" s="41"/>
    </row>
    <row r="44" spans="2:11" ht="12.5" x14ac:dyDescent="0.25">
      <c r="B44" s="533">
        <f>'IV. Data Inputs-PE'!$B$133</f>
        <v>0</v>
      </c>
      <c r="C44" s="175">
        <f>'IV. Data Inputs-PE'!$C$133</f>
        <v>0</v>
      </c>
      <c r="D44" s="175">
        <f>'IV. Data Inputs-PE'!D151</f>
        <v>0</v>
      </c>
      <c r="E44" s="176">
        <f t="shared" si="1"/>
        <v>0</v>
      </c>
      <c r="F44" s="625"/>
      <c r="G44" s="41"/>
    </row>
    <row r="45" spans="2:11" ht="12.5" x14ac:dyDescent="0.25">
      <c r="B45" s="533">
        <f>'IV. Data Inputs-PE'!$B$134</f>
        <v>0</v>
      </c>
      <c r="C45" s="175">
        <f>'IV. Data Inputs-PE'!$C$134</f>
        <v>0</v>
      </c>
      <c r="D45" s="175">
        <f>'IV. Data Inputs-PE'!D152</f>
        <v>0</v>
      </c>
      <c r="E45" s="176">
        <f t="shared" si="1"/>
        <v>0</v>
      </c>
      <c r="F45" s="625"/>
      <c r="G45" s="41"/>
    </row>
    <row r="46" spans="2:11" ht="12.5" x14ac:dyDescent="0.25">
      <c r="B46" s="533">
        <f>'IV. Data Inputs-PE'!$B$135</f>
        <v>0</v>
      </c>
      <c r="C46" s="175">
        <f>'IV. Data Inputs-PE'!$C$135</f>
        <v>0</v>
      </c>
      <c r="D46" s="175">
        <f>'IV. Data Inputs-PE'!D153</f>
        <v>0</v>
      </c>
      <c r="E46" s="176">
        <f t="shared" si="1"/>
        <v>0</v>
      </c>
      <c r="F46" s="625"/>
      <c r="G46" s="41"/>
    </row>
    <row r="47" spans="2:11" ht="12.5" x14ac:dyDescent="0.25">
      <c r="B47" s="533">
        <f>'IV. Data Inputs-PE'!$B$136</f>
        <v>0</v>
      </c>
      <c r="C47" s="175">
        <f>'IV. Data Inputs-PE'!$C$136</f>
        <v>0</v>
      </c>
      <c r="D47" s="175">
        <f>'IV. Data Inputs-PE'!D154</f>
        <v>0</v>
      </c>
      <c r="E47" s="176">
        <f t="shared" si="1"/>
        <v>0</v>
      </c>
      <c r="F47" s="625"/>
      <c r="G47" s="41"/>
    </row>
    <row r="48" spans="2:11" ht="12.5" x14ac:dyDescent="0.25">
      <c r="B48" s="533">
        <f>'IV. Data Inputs-PE'!$B$137</f>
        <v>0</v>
      </c>
      <c r="C48" s="175">
        <f>'IV. Data Inputs-PE'!$C$137</f>
        <v>0</v>
      </c>
      <c r="D48" s="175">
        <f>'IV. Data Inputs-PE'!D155</f>
        <v>0</v>
      </c>
      <c r="E48" s="176">
        <f t="shared" si="1"/>
        <v>0</v>
      </c>
      <c r="F48" s="625"/>
      <c r="G48" s="41"/>
    </row>
    <row r="49" spans="2:11" ht="12.5" x14ac:dyDescent="0.25">
      <c r="B49" s="533">
        <f>'IV. Data Inputs-PE'!$B$138</f>
        <v>0</v>
      </c>
      <c r="C49" s="175">
        <f>'IV. Data Inputs-PE'!$C$138</f>
        <v>0</v>
      </c>
      <c r="D49" s="175">
        <f>'IV. Data Inputs-PE'!D156</f>
        <v>0</v>
      </c>
      <c r="E49" s="176">
        <f t="shared" si="1"/>
        <v>0</v>
      </c>
      <c r="F49" s="625"/>
      <c r="G49" s="41"/>
    </row>
    <row r="50" spans="2:11" ht="12.5" x14ac:dyDescent="0.25">
      <c r="B50" s="533">
        <f>'IV. Data Inputs-PE'!$B$139</f>
        <v>0</v>
      </c>
      <c r="C50" s="175">
        <f>'IV. Data Inputs-PE'!$C$139</f>
        <v>0</v>
      </c>
      <c r="D50" s="175">
        <f>'IV. Data Inputs-PE'!D157</f>
        <v>0</v>
      </c>
      <c r="E50" s="176">
        <f t="shared" si="1"/>
        <v>0</v>
      </c>
      <c r="F50" s="625"/>
      <c r="G50" s="41"/>
    </row>
    <row r="51" spans="2:11" ht="12.5" x14ac:dyDescent="0.25">
      <c r="B51" s="533">
        <f>'IV. Data Inputs-PE'!$B$140</f>
        <v>0</v>
      </c>
      <c r="C51" s="175">
        <f>'IV. Data Inputs-PE'!$C$140</f>
        <v>0</v>
      </c>
      <c r="D51" s="175">
        <f>'IV. Data Inputs-PE'!D158</f>
        <v>0</v>
      </c>
      <c r="E51" s="176">
        <f t="shared" si="1"/>
        <v>0</v>
      </c>
      <c r="F51" s="625"/>
      <c r="G51" s="41"/>
    </row>
    <row r="52" spans="2:11" ht="12.5" x14ac:dyDescent="0.25">
      <c r="B52" s="533">
        <f>'IV. Data Inputs-PE'!$B$141</f>
        <v>0</v>
      </c>
      <c r="C52" s="175">
        <f>'IV. Data Inputs-PE'!$C$141</f>
        <v>0</v>
      </c>
      <c r="D52" s="175">
        <f>'IV. Data Inputs-PE'!D159</f>
        <v>0</v>
      </c>
      <c r="E52" s="176">
        <f t="shared" si="1"/>
        <v>0</v>
      </c>
      <c r="F52" s="625"/>
      <c r="G52" s="41"/>
    </row>
    <row r="53" spans="2:11" x14ac:dyDescent="0.3">
      <c r="B53" s="243" t="s">
        <v>414</v>
      </c>
      <c r="C53" s="176">
        <f>SUM(C41:C52)</f>
        <v>0</v>
      </c>
      <c r="D53" s="176">
        <f>SUM(D41:D52)</f>
        <v>0</v>
      </c>
      <c r="E53" s="176">
        <f>SUM(E41:E52)</f>
        <v>0</v>
      </c>
      <c r="F53" s="239">
        <f>(C37*C38*'III. Data Inputs-BE'!G45*0.68)*(E53)</f>
        <v>0</v>
      </c>
      <c r="G53" s="41"/>
    </row>
    <row r="54" spans="2:11" x14ac:dyDescent="0.3">
      <c r="B54" s="100"/>
      <c r="E54" s="13"/>
      <c r="F54" s="235"/>
      <c r="G54" s="41"/>
    </row>
    <row r="55" spans="2:11" x14ac:dyDescent="0.3">
      <c r="B55" s="100"/>
      <c r="E55" s="13"/>
      <c r="F55" s="235"/>
      <c r="G55" s="41"/>
    </row>
    <row r="56" spans="2:11" x14ac:dyDescent="0.3">
      <c r="B56" s="626" t="str">
        <f>'III. Data Inputs-BE'!B53</f>
        <v>Population 3</v>
      </c>
      <c r="C56" s="627"/>
      <c r="D56" s="227"/>
      <c r="E56" s="227"/>
      <c r="F56" s="238"/>
      <c r="G56" s="228"/>
      <c r="H56" s="227"/>
      <c r="I56" s="227"/>
      <c r="J56" s="227"/>
      <c r="K56" s="227"/>
    </row>
    <row r="57" spans="2:11" ht="15" x14ac:dyDescent="0.4">
      <c r="B57" s="243" t="s">
        <v>477</v>
      </c>
      <c r="C57" s="531">
        <f>'VI. BE CH4,nAS'!E20</f>
        <v>0</v>
      </c>
      <c r="D57" s="224"/>
      <c r="E57" s="224"/>
      <c r="F57" s="237"/>
      <c r="G57" s="226"/>
      <c r="H57" s="224"/>
      <c r="I57" s="224"/>
      <c r="J57" s="224"/>
      <c r="K57" s="224"/>
    </row>
    <row r="58" spans="2:11" ht="16" x14ac:dyDescent="0.4">
      <c r="B58" s="243" t="s">
        <v>478</v>
      </c>
      <c r="C58" s="532">
        <f>'III. Data Inputs-BE'!C109</f>
        <v>0</v>
      </c>
      <c r="D58" s="224"/>
      <c r="E58" s="224"/>
      <c r="F58" s="237"/>
      <c r="G58" s="226"/>
      <c r="H58" s="224"/>
      <c r="I58" s="224"/>
      <c r="J58" s="224"/>
      <c r="K58" s="224"/>
    </row>
    <row r="59" spans="2:11" x14ac:dyDescent="0.3">
      <c r="B59" s="100"/>
      <c r="C59" s="36"/>
      <c r="D59" s="224"/>
      <c r="E59" s="224"/>
      <c r="F59" s="237"/>
      <c r="G59" s="226"/>
      <c r="H59" s="224"/>
      <c r="I59" s="224"/>
      <c r="J59" s="224"/>
      <c r="K59" s="224"/>
    </row>
    <row r="60" spans="2:11" s="4" customFormat="1" ht="28" x14ac:dyDescent="0.4">
      <c r="B60" s="365" t="s">
        <v>484</v>
      </c>
      <c r="C60" s="128" t="s">
        <v>480</v>
      </c>
      <c r="D60" s="128" t="s">
        <v>481</v>
      </c>
      <c r="E60" s="128" t="s">
        <v>482</v>
      </c>
      <c r="F60" s="412" t="s">
        <v>483</v>
      </c>
      <c r="G60" s="57"/>
    </row>
    <row r="61" spans="2:11" ht="12.5" x14ac:dyDescent="0.25">
      <c r="B61" s="533">
        <f>'IV. Data Inputs-PE'!$B$129</f>
        <v>0</v>
      </c>
      <c r="C61" s="175">
        <f>'IV. Data Inputs-PE'!$C$129</f>
        <v>0</v>
      </c>
      <c r="D61" s="175">
        <f>'IV. Data Inputs-PE'!E146</f>
        <v>0</v>
      </c>
      <c r="E61" s="176">
        <f>C61*D61</f>
        <v>0</v>
      </c>
      <c r="F61" s="625"/>
      <c r="G61" s="41"/>
    </row>
    <row r="62" spans="2:11" ht="12.5" x14ac:dyDescent="0.25">
      <c r="B62" s="533">
        <f>'IV. Data Inputs-PE'!$B$130</f>
        <v>0</v>
      </c>
      <c r="C62" s="175">
        <f>'IV. Data Inputs-PE'!$C$130</f>
        <v>0</v>
      </c>
      <c r="D62" s="175">
        <f>'IV. Data Inputs-PE'!E147</f>
        <v>0</v>
      </c>
      <c r="E62" s="176">
        <f t="shared" ref="E62:E72" si="2">C62*D62</f>
        <v>0</v>
      </c>
      <c r="F62" s="625"/>
      <c r="G62" s="41"/>
    </row>
    <row r="63" spans="2:11" ht="12.5" x14ac:dyDescent="0.25">
      <c r="B63" s="533">
        <f>'IV. Data Inputs-PE'!$B$132</f>
        <v>0</v>
      </c>
      <c r="C63" s="175">
        <f>'IV. Data Inputs-PE'!$C$132</f>
        <v>0</v>
      </c>
      <c r="D63" s="175">
        <f>'IV. Data Inputs-PE'!E150</f>
        <v>0</v>
      </c>
      <c r="E63" s="176">
        <f t="shared" si="2"/>
        <v>0</v>
      </c>
      <c r="F63" s="625"/>
      <c r="G63" s="41"/>
    </row>
    <row r="64" spans="2:11" ht="12.5" x14ac:dyDescent="0.25">
      <c r="B64" s="533">
        <f>'IV. Data Inputs-PE'!$B$133</f>
        <v>0</v>
      </c>
      <c r="C64" s="175">
        <f>'IV. Data Inputs-PE'!$C$133</f>
        <v>0</v>
      </c>
      <c r="D64" s="175">
        <f>'IV. Data Inputs-PE'!E151</f>
        <v>0</v>
      </c>
      <c r="E64" s="176">
        <f t="shared" si="2"/>
        <v>0</v>
      </c>
      <c r="F64" s="625"/>
      <c r="G64" s="41"/>
    </row>
    <row r="65" spans="2:11" ht="12.5" x14ac:dyDescent="0.25">
      <c r="B65" s="533">
        <f>'IV. Data Inputs-PE'!$B$134</f>
        <v>0</v>
      </c>
      <c r="C65" s="175">
        <f>'IV. Data Inputs-PE'!$C$134</f>
        <v>0</v>
      </c>
      <c r="D65" s="175">
        <f>'IV. Data Inputs-PE'!E152</f>
        <v>0</v>
      </c>
      <c r="E65" s="176">
        <f t="shared" si="2"/>
        <v>0</v>
      </c>
      <c r="F65" s="625"/>
      <c r="G65" s="41"/>
    </row>
    <row r="66" spans="2:11" ht="12.5" x14ac:dyDescent="0.25">
      <c r="B66" s="533">
        <f>'IV. Data Inputs-PE'!$B$135</f>
        <v>0</v>
      </c>
      <c r="C66" s="175">
        <f>'IV. Data Inputs-PE'!$C$135</f>
        <v>0</v>
      </c>
      <c r="D66" s="175">
        <f>'IV. Data Inputs-PE'!E153</f>
        <v>0</v>
      </c>
      <c r="E66" s="176">
        <f t="shared" si="2"/>
        <v>0</v>
      </c>
      <c r="F66" s="625"/>
      <c r="G66" s="41"/>
    </row>
    <row r="67" spans="2:11" ht="12.5" x14ac:dyDescent="0.25">
      <c r="B67" s="533">
        <f>'IV. Data Inputs-PE'!$B$136</f>
        <v>0</v>
      </c>
      <c r="C67" s="175">
        <f>'IV. Data Inputs-PE'!$C$136</f>
        <v>0</v>
      </c>
      <c r="D67" s="175">
        <f>'IV. Data Inputs-PE'!E154</f>
        <v>0</v>
      </c>
      <c r="E67" s="176">
        <f t="shared" si="2"/>
        <v>0</v>
      </c>
      <c r="F67" s="625"/>
      <c r="G67" s="41"/>
    </row>
    <row r="68" spans="2:11" ht="12.5" x14ac:dyDescent="0.25">
      <c r="B68" s="533">
        <f>'IV. Data Inputs-PE'!$B$137</f>
        <v>0</v>
      </c>
      <c r="C68" s="175">
        <f>'IV. Data Inputs-PE'!$C$137</f>
        <v>0</v>
      </c>
      <c r="D68" s="175">
        <f>'IV. Data Inputs-PE'!E155</f>
        <v>0</v>
      </c>
      <c r="E68" s="176">
        <f t="shared" si="2"/>
        <v>0</v>
      </c>
      <c r="F68" s="625"/>
      <c r="G68" s="41"/>
    </row>
    <row r="69" spans="2:11" ht="12.5" x14ac:dyDescent="0.25">
      <c r="B69" s="533">
        <f>'IV. Data Inputs-PE'!$B$138</f>
        <v>0</v>
      </c>
      <c r="C69" s="175">
        <f>'IV. Data Inputs-PE'!$C$138</f>
        <v>0</v>
      </c>
      <c r="D69" s="175">
        <f>'IV. Data Inputs-PE'!E156</f>
        <v>0</v>
      </c>
      <c r="E69" s="176">
        <f t="shared" si="2"/>
        <v>0</v>
      </c>
      <c r="F69" s="625"/>
      <c r="G69" s="41"/>
    </row>
    <row r="70" spans="2:11" ht="12.5" x14ac:dyDescent="0.25">
      <c r="B70" s="533">
        <f>'IV. Data Inputs-PE'!$B$139</f>
        <v>0</v>
      </c>
      <c r="C70" s="175">
        <f>'IV. Data Inputs-PE'!$C$139</f>
        <v>0</v>
      </c>
      <c r="D70" s="175">
        <f>'IV. Data Inputs-PE'!E157</f>
        <v>0</v>
      </c>
      <c r="E70" s="176">
        <f t="shared" si="2"/>
        <v>0</v>
      </c>
      <c r="F70" s="625"/>
      <c r="G70" s="41"/>
    </row>
    <row r="71" spans="2:11" ht="12.5" x14ac:dyDescent="0.25">
      <c r="B71" s="533">
        <f>'IV. Data Inputs-PE'!$B$140</f>
        <v>0</v>
      </c>
      <c r="C71" s="175">
        <f>'IV. Data Inputs-PE'!$C$140</f>
        <v>0</v>
      </c>
      <c r="D71" s="175">
        <f>'IV. Data Inputs-PE'!E158</f>
        <v>0</v>
      </c>
      <c r="E71" s="176">
        <f t="shared" si="2"/>
        <v>0</v>
      </c>
      <c r="F71" s="625"/>
      <c r="G71" s="41"/>
    </row>
    <row r="72" spans="2:11" ht="12.5" x14ac:dyDescent="0.25">
      <c r="B72" s="533">
        <f>'IV. Data Inputs-PE'!$B$141</f>
        <v>0</v>
      </c>
      <c r="C72" s="175">
        <f>'IV. Data Inputs-PE'!$C$141</f>
        <v>0</v>
      </c>
      <c r="D72" s="175">
        <f>'IV. Data Inputs-PE'!E159</f>
        <v>0</v>
      </c>
      <c r="E72" s="176">
        <f t="shared" si="2"/>
        <v>0</v>
      </c>
      <c r="F72" s="625"/>
      <c r="G72" s="41"/>
    </row>
    <row r="73" spans="2:11" x14ac:dyDescent="0.3">
      <c r="B73" s="243" t="s">
        <v>414</v>
      </c>
      <c r="C73" s="176">
        <f>SUM(C61:C72)</f>
        <v>0</v>
      </c>
      <c r="D73" s="176">
        <f>SUM(D61:D72)</f>
        <v>0</v>
      </c>
      <c r="E73" s="176">
        <f>SUM(E61:E72)</f>
        <v>0</v>
      </c>
      <c r="F73" s="239">
        <f>(C57*C58*'III. Data Inputs-BE'!G45*0.68)*(E73)</f>
        <v>0</v>
      </c>
      <c r="G73" s="41"/>
    </row>
    <row r="74" spans="2:11" x14ac:dyDescent="0.3">
      <c r="B74" s="100"/>
      <c r="E74" s="13"/>
      <c r="F74" s="235"/>
      <c r="G74" s="41"/>
    </row>
    <row r="75" spans="2:11" x14ac:dyDescent="0.3">
      <c r="B75" s="100"/>
      <c r="E75" s="13"/>
      <c r="F75" s="235"/>
      <c r="G75" s="41"/>
    </row>
    <row r="76" spans="2:11" x14ac:dyDescent="0.3">
      <c r="B76" s="626" t="str">
        <f>'III. Data Inputs-BE'!B54</f>
        <v>Population 4</v>
      </c>
      <c r="C76" s="627"/>
      <c r="D76" s="227"/>
      <c r="E76" s="227"/>
      <c r="F76" s="238"/>
      <c r="G76" s="228"/>
      <c r="H76" s="227"/>
      <c r="I76" s="227"/>
      <c r="J76" s="227"/>
      <c r="K76" s="227"/>
    </row>
    <row r="77" spans="2:11" ht="15" x14ac:dyDescent="0.4">
      <c r="B77" s="243" t="s">
        <v>477</v>
      </c>
      <c r="C77" s="531">
        <f>'VI. BE CH4,nAS'!E21</f>
        <v>0</v>
      </c>
      <c r="D77" s="224"/>
      <c r="E77" s="224"/>
      <c r="F77" s="237"/>
      <c r="G77" s="226"/>
      <c r="H77" s="224"/>
      <c r="I77" s="224"/>
      <c r="J77" s="224"/>
      <c r="K77" s="224"/>
    </row>
    <row r="78" spans="2:11" ht="16" x14ac:dyDescent="0.4">
      <c r="B78" s="243" t="s">
        <v>478</v>
      </c>
      <c r="C78" s="532">
        <f>'III. Data Inputs-BE'!C110</f>
        <v>0</v>
      </c>
      <c r="D78" s="224"/>
      <c r="E78" s="224"/>
      <c r="F78" s="237"/>
      <c r="G78" s="226"/>
      <c r="H78" s="224"/>
      <c r="I78" s="224"/>
      <c r="J78" s="224"/>
      <c r="K78" s="224"/>
    </row>
    <row r="79" spans="2:11" x14ac:dyDescent="0.3">
      <c r="B79" s="100"/>
      <c r="C79" s="36"/>
      <c r="D79" s="224"/>
      <c r="E79" s="224"/>
      <c r="F79" s="237"/>
      <c r="G79" s="226"/>
      <c r="H79" s="224"/>
      <c r="I79" s="224"/>
      <c r="J79" s="224"/>
      <c r="K79" s="224"/>
    </row>
    <row r="80" spans="2:11" s="4" customFormat="1" ht="28" x14ac:dyDescent="0.4">
      <c r="B80" s="365" t="s">
        <v>484</v>
      </c>
      <c r="C80" s="128" t="s">
        <v>480</v>
      </c>
      <c r="D80" s="128" t="s">
        <v>481</v>
      </c>
      <c r="E80" s="128" t="s">
        <v>482</v>
      </c>
      <c r="F80" s="412" t="s">
        <v>483</v>
      </c>
      <c r="G80" s="57"/>
    </row>
    <row r="81" spans="2:11" ht="12.5" x14ac:dyDescent="0.25">
      <c r="B81" s="533">
        <f>'IV. Data Inputs-PE'!$B$129</f>
        <v>0</v>
      </c>
      <c r="C81" s="175">
        <f>'IV. Data Inputs-PE'!$C$129</f>
        <v>0</v>
      </c>
      <c r="D81" s="175">
        <f>'IV. Data Inputs-PE'!F146</f>
        <v>0</v>
      </c>
      <c r="E81" s="176">
        <f>C81*D81</f>
        <v>0</v>
      </c>
      <c r="F81" s="625"/>
      <c r="G81" s="41"/>
    </row>
    <row r="82" spans="2:11" ht="12.5" x14ac:dyDescent="0.25">
      <c r="B82" s="533">
        <f>'IV. Data Inputs-PE'!$B$130</f>
        <v>0</v>
      </c>
      <c r="C82" s="175">
        <f>'IV. Data Inputs-PE'!$C$130</f>
        <v>0</v>
      </c>
      <c r="D82" s="175">
        <f>'IV. Data Inputs-PE'!F147</f>
        <v>0</v>
      </c>
      <c r="E82" s="176">
        <f t="shared" ref="E82:E92" si="3">C82*D82</f>
        <v>0</v>
      </c>
      <c r="F82" s="625"/>
      <c r="G82" s="41"/>
    </row>
    <row r="83" spans="2:11" ht="12.5" x14ac:dyDescent="0.25">
      <c r="B83" s="533">
        <f>'IV. Data Inputs-PE'!$B$132</f>
        <v>0</v>
      </c>
      <c r="C83" s="175">
        <f>'IV. Data Inputs-PE'!$C$132</f>
        <v>0</v>
      </c>
      <c r="D83" s="175">
        <f>'IV. Data Inputs-PE'!F150</f>
        <v>0</v>
      </c>
      <c r="E83" s="176">
        <f t="shared" si="3"/>
        <v>0</v>
      </c>
      <c r="F83" s="625"/>
      <c r="G83" s="41"/>
    </row>
    <row r="84" spans="2:11" ht="12.5" x14ac:dyDescent="0.25">
      <c r="B84" s="533">
        <f>'IV. Data Inputs-PE'!$B$133</f>
        <v>0</v>
      </c>
      <c r="C84" s="175">
        <f>'IV. Data Inputs-PE'!$C$133</f>
        <v>0</v>
      </c>
      <c r="D84" s="175">
        <f>'IV. Data Inputs-PE'!F151</f>
        <v>0</v>
      </c>
      <c r="E84" s="176">
        <f t="shared" si="3"/>
        <v>0</v>
      </c>
      <c r="F84" s="625"/>
      <c r="G84" s="41"/>
    </row>
    <row r="85" spans="2:11" ht="12.5" x14ac:dyDescent="0.25">
      <c r="B85" s="533">
        <f>'IV. Data Inputs-PE'!$B$134</f>
        <v>0</v>
      </c>
      <c r="C85" s="175">
        <f>'IV. Data Inputs-PE'!$C$134</f>
        <v>0</v>
      </c>
      <c r="D85" s="175">
        <f>'IV. Data Inputs-PE'!F152</f>
        <v>0</v>
      </c>
      <c r="E85" s="176">
        <f t="shared" si="3"/>
        <v>0</v>
      </c>
      <c r="F85" s="625"/>
      <c r="G85" s="41"/>
    </row>
    <row r="86" spans="2:11" ht="12.5" x14ac:dyDescent="0.25">
      <c r="B86" s="533">
        <f>'IV. Data Inputs-PE'!$B$135</f>
        <v>0</v>
      </c>
      <c r="C86" s="175">
        <f>'IV. Data Inputs-PE'!$C$135</f>
        <v>0</v>
      </c>
      <c r="D86" s="175">
        <f>'IV. Data Inputs-PE'!F153</f>
        <v>0</v>
      </c>
      <c r="E86" s="176">
        <f t="shared" si="3"/>
        <v>0</v>
      </c>
      <c r="F86" s="625"/>
      <c r="G86" s="41"/>
    </row>
    <row r="87" spans="2:11" ht="12.5" x14ac:dyDescent="0.25">
      <c r="B87" s="533">
        <f>'IV. Data Inputs-PE'!$B$136</f>
        <v>0</v>
      </c>
      <c r="C87" s="175">
        <f>'IV. Data Inputs-PE'!$C$136</f>
        <v>0</v>
      </c>
      <c r="D87" s="175">
        <f>'IV. Data Inputs-PE'!F154</f>
        <v>0</v>
      </c>
      <c r="E87" s="176">
        <f t="shared" si="3"/>
        <v>0</v>
      </c>
      <c r="F87" s="625"/>
      <c r="G87" s="41"/>
    </row>
    <row r="88" spans="2:11" ht="12.5" x14ac:dyDescent="0.25">
      <c r="B88" s="533">
        <f>'IV. Data Inputs-PE'!$B$137</f>
        <v>0</v>
      </c>
      <c r="C88" s="175">
        <f>'IV. Data Inputs-PE'!$C$137</f>
        <v>0</v>
      </c>
      <c r="D88" s="175">
        <f>'IV. Data Inputs-PE'!F155</f>
        <v>0</v>
      </c>
      <c r="E88" s="176">
        <f t="shared" si="3"/>
        <v>0</v>
      </c>
      <c r="F88" s="625"/>
      <c r="G88" s="41"/>
    </row>
    <row r="89" spans="2:11" s="4" customFormat="1" x14ac:dyDescent="0.3">
      <c r="B89" s="533">
        <f>'IV. Data Inputs-PE'!$B$138</f>
        <v>0</v>
      </c>
      <c r="C89" s="175">
        <f>'IV. Data Inputs-PE'!$C$138</f>
        <v>0</v>
      </c>
      <c r="D89" s="175">
        <f>'IV. Data Inputs-PE'!F156</f>
        <v>0</v>
      </c>
      <c r="E89" s="176">
        <f t="shared" si="3"/>
        <v>0</v>
      </c>
      <c r="F89" s="625"/>
      <c r="G89" s="41"/>
      <c r="H89" s="13"/>
      <c r="I89" s="13"/>
      <c r="J89" s="13"/>
      <c r="K89" s="13"/>
    </row>
    <row r="90" spans="2:11" ht="12.5" x14ac:dyDescent="0.25">
      <c r="B90" s="533">
        <f>'IV. Data Inputs-PE'!$B$139</f>
        <v>0</v>
      </c>
      <c r="C90" s="175">
        <f>'IV. Data Inputs-PE'!$C$139</f>
        <v>0</v>
      </c>
      <c r="D90" s="175">
        <f>'IV. Data Inputs-PE'!F157</f>
        <v>0</v>
      </c>
      <c r="E90" s="176">
        <f t="shared" si="3"/>
        <v>0</v>
      </c>
      <c r="F90" s="625"/>
      <c r="G90" s="41"/>
    </row>
    <row r="91" spans="2:11" ht="12.5" x14ac:dyDescent="0.25">
      <c r="B91" s="533">
        <f>'IV. Data Inputs-PE'!$B$140</f>
        <v>0</v>
      </c>
      <c r="C91" s="175">
        <f>'IV. Data Inputs-PE'!$C$140</f>
        <v>0</v>
      </c>
      <c r="D91" s="175">
        <f>'IV. Data Inputs-PE'!F158</f>
        <v>0</v>
      </c>
      <c r="E91" s="176">
        <f t="shared" si="3"/>
        <v>0</v>
      </c>
      <c r="F91" s="625"/>
      <c r="G91" s="41"/>
    </row>
    <row r="92" spans="2:11" ht="12.5" x14ac:dyDescent="0.25">
      <c r="B92" s="533">
        <f>'IV. Data Inputs-PE'!$B$141</f>
        <v>0</v>
      </c>
      <c r="C92" s="175">
        <f>'IV. Data Inputs-PE'!$C$141</f>
        <v>0</v>
      </c>
      <c r="D92" s="175">
        <f>'IV. Data Inputs-PE'!F159</f>
        <v>0</v>
      </c>
      <c r="E92" s="176">
        <f t="shared" si="3"/>
        <v>0</v>
      </c>
      <c r="F92" s="625"/>
      <c r="G92" s="41"/>
    </row>
    <row r="93" spans="2:11" x14ac:dyDescent="0.3">
      <c r="B93" s="243" t="s">
        <v>414</v>
      </c>
      <c r="C93" s="176">
        <f>SUM(C81:C92)</f>
        <v>0</v>
      </c>
      <c r="D93" s="176">
        <f>SUM(D81:D92)</f>
        <v>0</v>
      </c>
      <c r="E93" s="176">
        <f>SUM(E81:E92)</f>
        <v>0</v>
      </c>
      <c r="F93" s="239">
        <f>(C77*C78*'III. Data Inputs-BE'!G45*0.68)*(E93)</f>
        <v>0</v>
      </c>
      <c r="G93" s="41"/>
    </row>
    <row r="94" spans="2:11" x14ac:dyDescent="0.3">
      <c r="B94" s="100"/>
      <c r="E94" s="13"/>
      <c r="F94" s="235"/>
      <c r="G94" s="41"/>
    </row>
    <row r="95" spans="2:11" x14ac:dyDescent="0.3">
      <c r="B95" s="100"/>
      <c r="E95" s="13"/>
      <c r="F95" s="235"/>
      <c r="G95" s="41"/>
    </row>
    <row r="96" spans="2:11" x14ac:dyDescent="0.3">
      <c r="B96" s="626" t="str">
        <f>'III. Data Inputs-BE'!B55</f>
        <v>Population 5</v>
      </c>
      <c r="C96" s="627"/>
      <c r="D96" s="227"/>
      <c r="E96" s="227"/>
      <c r="F96" s="238"/>
      <c r="G96" s="228"/>
      <c r="H96" s="227"/>
      <c r="I96" s="227"/>
      <c r="J96" s="227"/>
      <c r="K96" s="227"/>
    </row>
    <row r="97" spans="2:11" ht="15" x14ac:dyDescent="0.4">
      <c r="B97" s="243" t="s">
        <v>477</v>
      </c>
      <c r="C97" s="531">
        <f>'VI. BE CH4,nAS'!E22</f>
        <v>0</v>
      </c>
      <c r="D97" s="224"/>
      <c r="E97" s="224"/>
      <c r="F97" s="237"/>
      <c r="G97" s="226"/>
      <c r="H97" s="224"/>
      <c r="I97" s="224"/>
      <c r="J97" s="224"/>
      <c r="K97" s="224"/>
    </row>
    <row r="98" spans="2:11" ht="16" x14ac:dyDescent="0.4">
      <c r="B98" s="243" t="s">
        <v>478</v>
      </c>
      <c r="C98" s="532">
        <f>'III. Data Inputs-BE'!C111</f>
        <v>0</v>
      </c>
      <c r="D98" s="224"/>
      <c r="E98" s="224"/>
      <c r="F98" s="237"/>
      <c r="G98" s="226"/>
      <c r="H98" s="229"/>
      <c r="I98" s="224"/>
      <c r="J98" s="224"/>
      <c r="K98" s="224"/>
    </row>
    <row r="99" spans="2:11" x14ac:dyDescent="0.3">
      <c r="B99" s="100"/>
      <c r="C99" s="36"/>
      <c r="D99" s="224"/>
      <c r="E99" s="224"/>
      <c r="F99" s="237"/>
      <c r="G99" s="226"/>
      <c r="H99" s="224"/>
      <c r="I99" s="224"/>
      <c r="J99" s="224"/>
      <c r="K99" s="224"/>
    </row>
    <row r="100" spans="2:11" s="4" customFormat="1" ht="28" x14ac:dyDescent="0.4">
      <c r="B100" s="365" t="s">
        <v>484</v>
      </c>
      <c r="C100" s="128" t="s">
        <v>480</v>
      </c>
      <c r="D100" s="128" t="s">
        <v>481</v>
      </c>
      <c r="E100" s="128" t="s">
        <v>482</v>
      </c>
      <c r="F100" s="412" t="s">
        <v>483</v>
      </c>
      <c r="G100" s="57"/>
    </row>
    <row r="101" spans="2:11" ht="12.5" x14ac:dyDescent="0.25">
      <c r="B101" s="533">
        <f>'IV. Data Inputs-PE'!$B$129</f>
        <v>0</v>
      </c>
      <c r="C101" s="175">
        <f>'IV. Data Inputs-PE'!$C$129</f>
        <v>0</v>
      </c>
      <c r="D101" s="175">
        <f>'IV. Data Inputs-PE'!G146</f>
        <v>0</v>
      </c>
      <c r="E101" s="176">
        <f>C101*D101</f>
        <v>0</v>
      </c>
      <c r="F101" s="625"/>
      <c r="G101" s="41"/>
    </row>
    <row r="102" spans="2:11" ht="12.5" x14ac:dyDescent="0.25">
      <c r="B102" s="533">
        <f>'IV. Data Inputs-PE'!$B$130</f>
        <v>0</v>
      </c>
      <c r="C102" s="175">
        <f>'IV. Data Inputs-PE'!$C$130</f>
        <v>0</v>
      </c>
      <c r="D102" s="175">
        <f>'IV. Data Inputs-PE'!G147</f>
        <v>0</v>
      </c>
      <c r="E102" s="176">
        <f t="shared" ref="E102:E112" si="4">C102*D102</f>
        <v>0</v>
      </c>
      <c r="F102" s="625"/>
      <c r="G102" s="41"/>
    </row>
    <row r="103" spans="2:11" ht="12.5" x14ac:dyDescent="0.25">
      <c r="B103" s="533">
        <f>'IV. Data Inputs-PE'!$B$132</f>
        <v>0</v>
      </c>
      <c r="C103" s="175">
        <f>'IV. Data Inputs-PE'!$C$132</f>
        <v>0</v>
      </c>
      <c r="D103" s="175">
        <f>'IV. Data Inputs-PE'!G150</f>
        <v>0</v>
      </c>
      <c r="E103" s="176">
        <f t="shared" si="4"/>
        <v>0</v>
      </c>
      <c r="F103" s="625"/>
      <c r="G103" s="41"/>
    </row>
    <row r="104" spans="2:11" ht="12.5" x14ac:dyDescent="0.25">
      <c r="B104" s="533">
        <f>'IV. Data Inputs-PE'!$B$133</f>
        <v>0</v>
      </c>
      <c r="C104" s="175">
        <f>'IV. Data Inputs-PE'!$C$133</f>
        <v>0</v>
      </c>
      <c r="D104" s="175">
        <f>'IV. Data Inputs-PE'!G151</f>
        <v>0</v>
      </c>
      <c r="E104" s="176">
        <f t="shared" si="4"/>
        <v>0</v>
      </c>
      <c r="F104" s="625"/>
      <c r="G104" s="41"/>
    </row>
    <row r="105" spans="2:11" ht="12.5" x14ac:dyDescent="0.25">
      <c r="B105" s="533">
        <f>'IV. Data Inputs-PE'!$B$134</f>
        <v>0</v>
      </c>
      <c r="C105" s="175">
        <f>'IV. Data Inputs-PE'!$C$134</f>
        <v>0</v>
      </c>
      <c r="D105" s="175">
        <f>'IV. Data Inputs-PE'!G152</f>
        <v>0</v>
      </c>
      <c r="E105" s="176">
        <f t="shared" si="4"/>
        <v>0</v>
      </c>
      <c r="F105" s="625"/>
      <c r="G105" s="41"/>
    </row>
    <row r="106" spans="2:11" ht="12.5" x14ac:dyDescent="0.25">
      <c r="B106" s="533">
        <f>'IV. Data Inputs-PE'!$B$135</f>
        <v>0</v>
      </c>
      <c r="C106" s="175">
        <f>'IV. Data Inputs-PE'!$C$135</f>
        <v>0</v>
      </c>
      <c r="D106" s="175">
        <f>'IV. Data Inputs-PE'!G153</f>
        <v>0</v>
      </c>
      <c r="E106" s="176">
        <f t="shared" si="4"/>
        <v>0</v>
      </c>
      <c r="F106" s="625"/>
      <c r="G106" s="41"/>
    </row>
    <row r="107" spans="2:11" ht="12.5" x14ac:dyDescent="0.25">
      <c r="B107" s="533">
        <f>'IV. Data Inputs-PE'!$B$136</f>
        <v>0</v>
      </c>
      <c r="C107" s="175">
        <f>'IV. Data Inputs-PE'!$C$136</f>
        <v>0</v>
      </c>
      <c r="D107" s="175">
        <f>'IV. Data Inputs-PE'!G154</f>
        <v>0</v>
      </c>
      <c r="E107" s="176">
        <f t="shared" si="4"/>
        <v>0</v>
      </c>
      <c r="F107" s="625"/>
      <c r="G107" s="41"/>
    </row>
    <row r="108" spans="2:11" ht="12.5" x14ac:dyDescent="0.25">
      <c r="B108" s="533">
        <f>'IV. Data Inputs-PE'!$B$137</f>
        <v>0</v>
      </c>
      <c r="C108" s="175">
        <f>'IV. Data Inputs-PE'!$C$137</f>
        <v>0</v>
      </c>
      <c r="D108" s="175">
        <f>'IV. Data Inputs-PE'!G155</f>
        <v>0</v>
      </c>
      <c r="E108" s="176">
        <f t="shared" si="4"/>
        <v>0</v>
      </c>
      <c r="F108" s="625"/>
      <c r="G108" s="41"/>
    </row>
    <row r="109" spans="2:11" ht="12.5" x14ac:dyDescent="0.25">
      <c r="B109" s="533">
        <f>'IV. Data Inputs-PE'!$B$138</f>
        <v>0</v>
      </c>
      <c r="C109" s="175">
        <f>'IV. Data Inputs-PE'!$C$138</f>
        <v>0</v>
      </c>
      <c r="D109" s="175">
        <f>'IV. Data Inputs-PE'!G156</f>
        <v>0</v>
      </c>
      <c r="E109" s="176">
        <f t="shared" si="4"/>
        <v>0</v>
      </c>
      <c r="F109" s="625"/>
      <c r="G109" s="41"/>
    </row>
    <row r="110" spans="2:11" ht="12.5" x14ac:dyDescent="0.25">
      <c r="B110" s="533">
        <f>'IV. Data Inputs-PE'!$B$139</f>
        <v>0</v>
      </c>
      <c r="C110" s="175">
        <f>'IV. Data Inputs-PE'!$C$139</f>
        <v>0</v>
      </c>
      <c r="D110" s="175">
        <f>'IV. Data Inputs-PE'!G157</f>
        <v>0</v>
      </c>
      <c r="E110" s="176">
        <f t="shared" si="4"/>
        <v>0</v>
      </c>
      <c r="F110" s="625"/>
      <c r="G110" s="41"/>
    </row>
    <row r="111" spans="2:11" ht="12.5" x14ac:dyDescent="0.25">
      <c r="B111" s="533">
        <f>'IV. Data Inputs-PE'!$B$140</f>
        <v>0</v>
      </c>
      <c r="C111" s="175">
        <f>'IV. Data Inputs-PE'!$C$140</f>
        <v>0</v>
      </c>
      <c r="D111" s="175">
        <f>'IV. Data Inputs-PE'!G158</f>
        <v>0</v>
      </c>
      <c r="E111" s="176">
        <f t="shared" si="4"/>
        <v>0</v>
      </c>
      <c r="F111" s="625"/>
      <c r="G111" s="41"/>
    </row>
    <row r="112" spans="2:11" ht="12.5" x14ac:dyDescent="0.25">
      <c r="B112" s="533">
        <f>'IV. Data Inputs-PE'!$B$141</f>
        <v>0</v>
      </c>
      <c r="C112" s="175">
        <f>'IV. Data Inputs-PE'!$C$141</f>
        <v>0</v>
      </c>
      <c r="D112" s="175">
        <f>'IV. Data Inputs-PE'!G159</f>
        <v>0</v>
      </c>
      <c r="E112" s="176">
        <f t="shared" si="4"/>
        <v>0</v>
      </c>
      <c r="F112" s="625"/>
      <c r="G112" s="41"/>
    </row>
    <row r="113" spans="2:11" x14ac:dyDescent="0.3">
      <c r="B113" s="243" t="s">
        <v>414</v>
      </c>
      <c r="C113" s="176">
        <f>SUM(C101:C112)</f>
        <v>0</v>
      </c>
      <c r="D113" s="176">
        <f>SUM(D101:D112)</f>
        <v>0</v>
      </c>
      <c r="E113" s="176">
        <f>SUM(E101:E112)</f>
        <v>0</v>
      </c>
      <c r="F113" s="239">
        <f>(C97*C98*'III. Data Inputs-BE'!G45*0.68)*(E113)</f>
        <v>0</v>
      </c>
      <c r="G113" s="41"/>
    </row>
    <row r="114" spans="2:11" x14ac:dyDescent="0.3">
      <c r="B114" s="100"/>
      <c r="E114" s="13"/>
      <c r="F114" s="235"/>
      <c r="G114" s="41"/>
    </row>
    <row r="115" spans="2:11" x14ac:dyDescent="0.3">
      <c r="B115" s="100"/>
      <c r="E115" s="13"/>
      <c r="F115" s="235"/>
      <c r="G115" s="41"/>
    </row>
    <row r="116" spans="2:11" x14ac:dyDescent="0.3">
      <c r="B116" s="626" t="str">
        <f>'III. Data Inputs-BE'!B56</f>
        <v>Population 6</v>
      </c>
      <c r="C116" s="627"/>
      <c r="D116" s="227"/>
      <c r="E116" s="227"/>
      <c r="F116" s="238"/>
      <c r="G116" s="228"/>
      <c r="H116" s="227"/>
      <c r="I116" s="227"/>
      <c r="J116" s="227"/>
      <c r="K116" s="227"/>
    </row>
    <row r="117" spans="2:11" ht="15" x14ac:dyDescent="0.4">
      <c r="B117" s="243" t="s">
        <v>477</v>
      </c>
      <c r="C117" s="531">
        <f>'VI. BE CH4,nAS'!E23</f>
        <v>0</v>
      </c>
      <c r="D117" s="224"/>
      <c r="E117" s="224"/>
      <c r="F117" s="237"/>
      <c r="G117" s="226"/>
      <c r="H117" s="224"/>
      <c r="I117" s="224"/>
      <c r="J117" s="224"/>
      <c r="K117" s="224"/>
    </row>
    <row r="118" spans="2:11" ht="16" x14ac:dyDescent="0.4">
      <c r="B118" s="243" t="s">
        <v>478</v>
      </c>
      <c r="C118" s="532">
        <f>'III. Data Inputs-BE'!C112</f>
        <v>0</v>
      </c>
      <c r="D118" s="224"/>
      <c r="E118" s="224"/>
      <c r="F118" s="237"/>
      <c r="G118" s="226"/>
      <c r="H118" s="224"/>
      <c r="I118" s="224"/>
      <c r="J118" s="224"/>
      <c r="K118" s="224"/>
    </row>
    <row r="119" spans="2:11" x14ac:dyDescent="0.3">
      <c r="B119" s="100"/>
      <c r="C119" s="36"/>
      <c r="D119" s="224"/>
      <c r="E119" s="224"/>
      <c r="F119" s="237"/>
      <c r="G119" s="226"/>
      <c r="H119" s="224"/>
      <c r="I119" s="224"/>
      <c r="J119" s="224"/>
      <c r="K119" s="224"/>
    </row>
    <row r="120" spans="2:11" s="4" customFormat="1" ht="28" x14ac:dyDescent="0.4">
      <c r="B120" s="365" t="s">
        <v>484</v>
      </c>
      <c r="C120" s="128" t="s">
        <v>480</v>
      </c>
      <c r="D120" s="128" t="s">
        <v>481</v>
      </c>
      <c r="E120" s="128" t="s">
        <v>482</v>
      </c>
      <c r="F120" s="412" t="s">
        <v>483</v>
      </c>
      <c r="G120" s="57"/>
    </row>
    <row r="121" spans="2:11" ht="12.5" x14ac:dyDescent="0.25">
      <c r="B121" s="533">
        <f>'IV. Data Inputs-PE'!$B$129</f>
        <v>0</v>
      </c>
      <c r="C121" s="175">
        <f>'IV. Data Inputs-PE'!$C$129</f>
        <v>0</v>
      </c>
      <c r="D121" s="175">
        <f>'IV. Data Inputs-PE'!H146</f>
        <v>0</v>
      </c>
      <c r="E121" s="176">
        <f>C121*D121</f>
        <v>0</v>
      </c>
      <c r="F121" s="625"/>
      <c r="G121" s="41"/>
    </row>
    <row r="122" spans="2:11" ht="12.5" x14ac:dyDescent="0.25">
      <c r="B122" s="533">
        <f>'IV. Data Inputs-PE'!$B$130</f>
        <v>0</v>
      </c>
      <c r="C122" s="175">
        <f>'IV. Data Inputs-PE'!$C$130</f>
        <v>0</v>
      </c>
      <c r="D122" s="175">
        <f>'IV. Data Inputs-PE'!H147</f>
        <v>0</v>
      </c>
      <c r="E122" s="176">
        <f t="shared" ref="E122:E132" si="5">C122*D122</f>
        <v>0</v>
      </c>
      <c r="F122" s="625"/>
      <c r="G122" s="41"/>
    </row>
    <row r="123" spans="2:11" ht="12.5" x14ac:dyDescent="0.25">
      <c r="B123" s="533">
        <f>'IV. Data Inputs-PE'!$B$132</f>
        <v>0</v>
      </c>
      <c r="C123" s="175">
        <f>'IV. Data Inputs-PE'!$C$132</f>
        <v>0</v>
      </c>
      <c r="D123" s="175">
        <f>'IV. Data Inputs-PE'!H150</f>
        <v>0</v>
      </c>
      <c r="E123" s="176">
        <f t="shared" si="5"/>
        <v>0</v>
      </c>
      <c r="F123" s="625"/>
      <c r="G123" s="41"/>
    </row>
    <row r="124" spans="2:11" ht="12.5" x14ac:dyDescent="0.25">
      <c r="B124" s="533">
        <f>'IV. Data Inputs-PE'!$B$133</f>
        <v>0</v>
      </c>
      <c r="C124" s="175">
        <f>'IV. Data Inputs-PE'!$C$133</f>
        <v>0</v>
      </c>
      <c r="D124" s="175">
        <f>'IV. Data Inputs-PE'!H151</f>
        <v>0</v>
      </c>
      <c r="E124" s="176">
        <f t="shared" si="5"/>
        <v>0</v>
      </c>
      <c r="F124" s="625"/>
      <c r="G124" s="41"/>
    </row>
    <row r="125" spans="2:11" ht="12.5" x14ac:dyDescent="0.25">
      <c r="B125" s="533">
        <f>'IV. Data Inputs-PE'!$B$134</f>
        <v>0</v>
      </c>
      <c r="C125" s="175">
        <f>'IV. Data Inputs-PE'!$C$134</f>
        <v>0</v>
      </c>
      <c r="D125" s="175">
        <f>'IV. Data Inputs-PE'!H152</f>
        <v>0</v>
      </c>
      <c r="E125" s="176">
        <f t="shared" si="5"/>
        <v>0</v>
      </c>
      <c r="F125" s="625"/>
      <c r="G125" s="41"/>
    </row>
    <row r="126" spans="2:11" ht="12.5" x14ac:dyDescent="0.25">
      <c r="B126" s="533">
        <f>'IV. Data Inputs-PE'!$B$135</f>
        <v>0</v>
      </c>
      <c r="C126" s="175">
        <f>'IV. Data Inputs-PE'!$C$135</f>
        <v>0</v>
      </c>
      <c r="D126" s="175">
        <f>'IV. Data Inputs-PE'!H153</f>
        <v>0</v>
      </c>
      <c r="E126" s="176">
        <f t="shared" si="5"/>
        <v>0</v>
      </c>
      <c r="F126" s="625"/>
      <c r="G126" s="41"/>
    </row>
    <row r="127" spans="2:11" ht="12.5" x14ac:dyDescent="0.25">
      <c r="B127" s="533">
        <f>'IV. Data Inputs-PE'!$B$136</f>
        <v>0</v>
      </c>
      <c r="C127" s="175">
        <f>'IV. Data Inputs-PE'!$C$136</f>
        <v>0</v>
      </c>
      <c r="D127" s="175">
        <f>'IV. Data Inputs-PE'!H154</f>
        <v>0</v>
      </c>
      <c r="E127" s="176">
        <f t="shared" si="5"/>
        <v>0</v>
      </c>
      <c r="F127" s="625"/>
      <c r="G127" s="41"/>
    </row>
    <row r="128" spans="2:11" ht="12.5" x14ac:dyDescent="0.25">
      <c r="B128" s="533">
        <f>'IV. Data Inputs-PE'!$B$137</f>
        <v>0</v>
      </c>
      <c r="C128" s="175">
        <f>'IV. Data Inputs-PE'!$C$137</f>
        <v>0</v>
      </c>
      <c r="D128" s="175">
        <f>'IV. Data Inputs-PE'!H155</f>
        <v>0</v>
      </c>
      <c r="E128" s="176">
        <f t="shared" si="5"/>
        <v>0</v>
      </c>
      <c r="F128" s="625"/>
      <c r="G128" s="41"/>
    </row>
    <row r="129" spans="2:11" ht="12.5" x14ac:dyDescent="0.25">
      <c r="B129" s="533">
        <f>'IV. Data Inputs-PE'!$B$138</f>
        <v>0</v>
      </c>
      <c r="C129" s="175">
        <f>'IV. Data Inputs-PE'!$C$138</f>
        <v>0</v>
      </c>
      <c r="D129" s="175">
        <f>'IV. Data Inputs-PE'!H156</f>
        <v>0</v>
      </c>
      <c r="E129" s="176">
        <f t="shared" si="5"/>
        <v>0</v>
      </c>
      <c r="F129" s="625"/>
      <c r="G129" s="41"/>
    </row>
    <row r="130" spans="2:11" ht="12.5" x14ac:dyDescent="0.25">
      <c r="B130" s="533">
        <f>'IV. Data Inputs-PE'!$B$139</f>
        <v>0</v>
      </c>
      <c r="C130" s="175">
        <f>'IV. Data Inputs-PE'!$C$139</f>
        <v>0</v>
      </c>
      <c r="D130" s="175">
        <f>'IV. Data Inputs-PE'!H157</f>
        <v>0</v>
      </c>
      <c r="E130" s="176">
        <f t="shared" si="5"/>
        <v>0</v>
      </c>
      <c r="F130" s="625"/>
      <c r="G130" s="41"/>
    </row>
    <row r="131" spans="2:11" ht="12.5" x14ac:dyDescent="0.25">
      <c r="B131" s="533">
        <f>'IV. Data Inputs-PE'!$B$140</f>
        <v>0</v>
      </c>
      <c r="C131" s="175">
        <f>'IV. Data Inputs-PE'!$C$140</f>
        <v>0</v>
      </c>
      <c r="D131" s="175">
        <f>'IV. Data Inputs-PE'!H158</f>
        <v>0</v>
      </c>
      <c r="E131" s="176">
        <f t="shared" si="5"/>
        <v>0</v>
      </c>
      <c r="F131" s="625"/>
      <c r="G131" s="41"/>
    </row>
    <row r="132" spans="2:11" ht="12.5" x14ac:dyDescent="0.25">
      <c r="B132" s="533">
        <f>'IV. Data Inputs-PE'!$B$141</f>
        <v>0</v>
      </c>
      <c r="C132" s="175">
        <f>'IV. Data Inputs-PE'!$C$141</f>
        <v>0</v>
      </c>
      <c r="D132" s="175">
        <f>'IV. Data Inputs-PE'!H159</f>
        <v>0</v>
      </c>
      <c r="E132" s="176">
        <f t="shared" si="5"/>
        <v>0</v>
      </c>
      <c r="F132" s="625"/>
      <c r="G132" s="41"/>
    </row>
    <row r="133" spans="2:11" x14ac:dyDescent="0.3">
      <c r="B133" s="243" t="s">
        <v>414</v>
      </c>
      <c r="C133" s="176">
        <f>SUM(C121:C132)</f>
        <v>0</v>
      </c>
      <c r="D133" s="176">
        <f>SUM(D121:D132)</f>
        <v>0</v>
      </c>
      <c r="E133" s="176">
        <f>SUM(E121:E132)</f>
        <v>0</v>
      </c>
      <c r="F133" s="239">
        <f>(C117*C118*'III. Data Inputs-BE'!G45*0.68)*(E133)</f>
        <v>0</v>
      </c>
      <c r="G133" s="41"/>
    </row>
    <row r="134" spans="2:11" x14ac:dyDescent="0.3">
      <c r="B134" s="100"/>
      <c r="E134" s="13"/>
      <c r="F134" s="235"/>
      <c r="G134" s="41"/>
    </row>
    <row r="135" spans="2:11" x14ac:dyDescent="0.3">
      <c r="B135" s="100"/>
      <c r="E135" s="13"/>
      <c r="F135" s="235"/>
      <c r="G135" s="41"/>
    </row>
    <row r="136" spans="2:11" x14ac:dyDescent="0.3">
      <c r="B136" s="626" t="str">
        <f>'III. Data Inputs-BE'!B57</f>
        <v>Population 7</v>
      </c>
      <c r="C136" s="627"/>
      <c r="D136" s="227"/>
      <c r="E136" s="227"/>
      <c r="F136" s="238"/>
      <c r="G136" s="228"/>
      <c r="H136" s="227"/>
      <c r="I136" s="227"/>
      <c r="J136" s="227"/>
      <c r="K136" s="227"/>
    </row>
    <row r="137" spans="2:11" ht="15" x14ac:dyDescent="0.4">
      <c r="B137" s="243" t="s">
        <v>477</v>
      </c>
      <c r="C137" s="531">
        <f>'VI. BE CH4,nAS'!E24</f>
        <v>0</v>
      </c>
      <c r="D137" s="224"/>
      <c r="E137" s="224"/>
      <c r="F137" s="237"/>
      <c r="G137" s="226"/>
      <c r="H137" s="224"/>
      <c r="I137" s="224"/>
      <c r="J137" s="224"/>
      <c r="K137" s="224"/>
    </row>
    <row r="138" spans="2:11" ht="16" x14ac:dyDescent="0.4">
      <c r="B138" s="243" t="s">
        <v>478</v>
      </c>
      <c r="C138" s="532">
        <f>'III. Data Inputs-BE'!C113</f>
        <v>0</v>
      </c>
      <c r="D138" s="224"/>
      <c r="E138" s="224"/>
      <c r="F138" s="237"/>
      <c r="G138" s="226"/>
      <c r="H138" s="224"/>
      <c r="I138" s="224"/>
      <c r="J138" s="224"/>
      <c r="K138" s="224"/>
    </row>
    <row r="139" spans="2:11" x14ac:dyDescent="0.3">
      <c r="B139" s="100"/>
      <c r="C139" s="36"/>
      <c r="D139" s="224"/>
      <c r="E139" s="224"/>
      <c r="F139" s="237"/>
      <c r="G139" s="226"/>
      <c r="H139" s="224"/>
      <c r="I139" s="224"/>
      <c r="J139" s="224"/>
      <c r="K139" s="224"/>
    </row>
    <row r="140" spans="2:11" s="4" customFormat="1" ht="28" x14ac:dyDescent="0.4">
      <c r="B140" s="365" t="s">
        <v>484</v>
      </c>
      <c r="C140" s="128" t="s">
        <v>480</v>
      </c>
      <c r="D140" s="128" t="s">
        <v>481</v>
      </c>
      <c r="E140" s="128" t="s">
        <v>482</v>
      </c>
      <c r="F140" s="412" t="s">
        <v>483</v>
      </c>
      <c r="G140" s="57"/>
    </row>
    <row r="141" spans="2:11" ht="12.5" x14ac:dyDescent="0.25">
      <c r="B141" s="533">
        <f>'IV. Data Inputs-PE'!$B$129</f>
        <v>0</v>
      </c>
      <c r="C141" s="175">
        <f>'IV. Data Inputs-PE'!$C$129</f>
        <v>0</v>
      </c>
      <c r="D141" s="175">
        <f>'IV. Data Inputs-PE'!I146</f>
        <v>0</v>
      </c>
      <c r="E141" s="176">
        <f>C141*D141</f>
        <v>0</v>
      </c>
      <c r="F141" s="625"/>
      <c r="G141" s="41"/>
    </row>
    <row r="142" spans="2:11" ht="12.5" x14ac:dyDescent="0.25">
      <c r="B142" s="533">
        <f>'IV. Data Inputs-PE'!$B$130</f>
        <v>0</v>
      </c>
      <c r="C142" s="175">
        <f>'IV. Data Inputs-PE'!$C$130</f>
        <v>0</v>
      </c>
      <c r="D142" s="175">
        <f>'IV. Data Inputs-PE'!I147</f>
        <v>0</v>
      </c>
      <c r="E142" s="176">
        <f t="shared" ref="E142:E152" si="6">C142*D142</f>
        <v>0</v>
      </c>
      <c r="F142" s="625"/>
      <c r="G142" s="41"/>
    </row>
    <row r="143" spans="2:11" ht="12.5" x14ac:dyDescent="0.25">
      <c r="B143" s="533">
        <f>'IV. Data Inputs-PE'!$B$132</f>
        <v>0</v>
      </c>
      <c r="C143" s="175">
        <f>'IV. Data Inputs-PE'!$C$132</f>
        <v>0</v>
      </c>
      <c r="D143" s="175">
        <f>'IV. Data Inputs-PE'!I150</f>
        <v>0</v>
      </c>
      <c r="E143" s="176">
        <f t="shared" si="6"/>
        <v>0</v>
      </c>
      <c r="F143" s="625"/>
      <c r="G143" s="41"/>
    </row>
    <row r="144" spans="2:11" ht="12.5" x14ac:dyDescent="0.25">
      <c r="B144" s="533">
        <f>'IV. Data Inputs-PE'!$B$133</f>
        <v>0</v>
      </c>
      <c r="C144" s="175">
        <f>'IV. Data Inputs-PE'!$C$133</f>
        <v>0</v>
      </c>
      <c r="D144" s="175">
        <f>'IV. Data Inputs-PE'!I151</f>
        <v>0</v>
      </c>
      <c r="E144" s="176">
        <f t="shared" si="6"/>
        <v>0</v>
      </c>
      <c r="F144" s="625"/>
      <c r="G144" s="41"/>
    </row>
    <row r="145" spans="2:11" ht="12.5" x14ac:dyDescent="0.25">
      <c r="B145" s="533">
        <f>'IV. Data Inputs-PE'!$B$134</f>
        <v>0</v>
      </c>
      <c r="C145" s="175">
        <f>'IV. Data Inputs-PE'!$C$134</f>
        <v>0</v>
      </c>
      <c r="D145" s="175">
        <f>'IV. Data Inputs-PE'!I152</f>
        <v>0</v>
      </c>
      <c r="E145" s="176">
        <f t="shared" si="6"/>
        <v>0</v>
      </c>
      <c r="F145" s="625"/>
      <c r="G145" s="41"/>
    </row>
    <row r="146" spans="2:11" ht="12.5" x14ac:dyDescent="0.25">
      <c r="B146" s="533">
        <f>'IV. Data Inputs-PE'!$B$135</f>
        <v>0</v>
      </c>
      <c r="C146" s="175">
        <f>'IV. Data Inputs-PE'!$C$135</f>
        <v>0</v>
      </c>
      <c r="D146" s="175">
        <f>'IV. Data Inputs-PE'!I153</f>
        <v>0</v>
      </c>
      <c r="E146" s="176">
        <f t="shared" si="6"/>
        <v>0</v>
      </c>
      <c r="F146" s="625"/>
      <c r="G146" s="41"/>
    </row>
    <row r="147" spans="2:11" ht="12.5" x14ac:dyDescent="0.25">
      <c r="B147" s="533">
        <f>'IV. Data Inputs-PE'!$B$136</f>
        <v>0</v>
      </c>
      <c r="C147" s="175">
        <f>'IV. Data Inputs-PE'!$C$136</f>
        <v>0</v>
      </c>
      <c r="D147" s="175">
        <f>'IV. Data Inputs-PE'!I154</f>
        <v>0</v>
      </c>
      <c r="E147" s="176">
        <f t="shared" si="6"/>
        <v>0</v>
      </c>
      <c r="F147" s="625"/>
      <c r="G147" s="41"/>
    </row>
    <row r="148" spans="2:11" ht="12.5" x14ac:dyDescent="0.25">
      <c r="B148" s="533">
        <f>'IV. Data Inputs-PE'!$B$137</f>
        <v>0</v>
      </c>
      <c r="C148" s="175">
        <f>'IV. Data Inputs-PE'!$C$137</f>
        <v>0</v>
      </c>
      <c r="D148" s="175">
        <f>'IV. Data Inputs-PE'!I155</f>
        <v>0</v>
      </c>
      <c r="E148" s="176">
        <f t="shared" si="6"/>
        <v>0</v>
      </c>
      <c r="F148" s="625"/>
      <c r="G148" s="41"/>
    </row>
    <row r="149" spans="2:11" ht="12.5" x14ac:dyDescent="0.25">
      <c r="B149" s="533">
        <f>'IV. Data Inputs-PE'!$B$138</f>
        <v>0</v>
      </c>
      <c r="C149" s="175">
        <f>'IV. Data Inputs-PE'!$C$138</f>
        <v>0</v>
      </c>
      <c r="D149" s="175">
        <f>'IV. Data Inputs-PE'!I156</f>
        <v>0</v>
      </c>
      <c r="E149" s="176">
        <f t="shared" si="6"/>
        <v>0</v>
      </c>
      <c r="F149" s="625"/>
      <c r="G149" s="41"/>
    </row>
    <row r="150" spans="2:11" ht="12.5" x14ac:dyDescent="0.25">
      <c r="B150" s="533">
        <f>'IV. Data Inputs-PE'!$B$139</f>
        <v>0</v>
      </c>
      <c r="C150" s="175">
        <f>'IV. Data Inputs-PE'!$C$139</f>
        <v>0</v>
      </c>
      <c r="D150" s="175">
        <f>'IV. Data Inputs-PE'!I157</f>
        <v>0</v>
      </c>
      <c r="E150" s="176">
        <f t="shared" si="6"/>
        <v>0</v>
      </c>
      <c r="F150" s="625"/>
      <c r="G150" s="41"/>
    </row>
    <row r="151" spans="2:11" ht="12.5" x14ac:dyDescent="0.25">
      <c r="B151" s="533">
        <f>'IV. Data Inputs-PE'!$B$140</f>
        <v>0</v>
      </c>
      <c r="C151" s="175">
        <f>'IV. Data Inputs-PE'!$C$140</f>
        <v>0</v>
      </c>
      <c r="D151" s="175">
        <f>'IV. Data Inputs-PE'!I158</f>
        <v>0</v>
      </c>
      <c r="E151" s="176">
        <f t="shared" si="6"/>
        <v>0</v>
      </c>
      <c r="F151" s="625"/>
      <c r="G151" s="41"/>
    </row>
    <row r="152" spans="2:11" ht="12.5" x14ac:dyDescent="0.25">
      <c r="B152" s="533">
        <f>'IV. Data Inputs-PE'!$B$141</f>
        <v>0</v>
      </c>
      <c r="C152" s="175">
        <f>'IV. Data Inputs-PE'!$C$141</f>
        <v>0</v>
      </c>
      <c r="D152" s="175">
        <f>'IV. Data Inputs-PE'!I159</f>
        <v>0</v>
      </c>
      <c r="E152" s="176">
        <f t="shared" si="6"/>
        <v>0</v>
      </c>
      <c r="F152" s="625"/>
      <c r="G152" s="41"/>
    </row>
    <row r="153" spans="2:11" x14ac:dyDescent="0.3">
      <c r="B153" s="243" t="s">
        <v>414</v>
      </c>
      <c r="C153" s="176">
        <f>SUM(C141:C152)</f>
        <v>0</v>
      </c>
      <c r="D153" s="176">
        <f>SUM(D141:D152)</f>
        <v>0</v>
      </c>
      <c r="E153" s="176">
        <f>SUM(E141:E152)</f>
        <v>0</v>
      </c>
      <c r="F153" s="239">
        <f>(C137*C138*'III. Data Inputs-BE'!G45*0.68)*(E153)</f>
        <v>0</v>
      </c>
      <c r="G153" s="41"/>
    </row>
    <row r="154" spans="2:11" x14ac:dyDescent="0.3">
      <c r="B154" s="100"/>
      <c r="C154" s="3"/>
      <c r="D154" s="3"/>
      <c r="E154" s="3"/>
      <c r="F154" s="235"/>
      <c r="G154" s="41"/>
    </row>
    <row r="155" spans="2:11" x14ac:dyDescent="0.3">
      <c r="B155" s="100"/>
      <c r="E155" s="13"/>
      <c r="F155" s="235"/>
      <c r="G155" s="41"/>
    </row>
    <row r="156" spans="2:11" s="26" customFormat="1" x14ac:dyDescent="0.3">
      <c r="B156" s="626" t="str">
        <f>'III. Data Inputs-BE'!B58</f>
        <v>Population 8</v>
      </c>
      <c r="C156" s="627"/>
      <c r="D156" s="227"/>
      <c r="E156" s="227"/>
      <c r="F156" s="238"/>
      <c r="G156" s="228"/>
      <c r="H156" s="227"/>
      <c r="I156" s="227"/>
      <c r="J156" s="227"/>
      <c r="K156" s="227"/>
    </row>
    <row r="157" spans="2:11" ht="15" x14ac:dyDescent="0.4">
      <c r="B157" s="243" t="s">
        <v>477</v>
      </c>
      <c r="C157" s="531">
        <f>'VI. BE CH4,nAS'!E25</f>
        <v>0</v>
      </c>
      <c r="D157" s="224"/>
      <c r="E157" s="224"/>
      <c r="F157" s="237"/>
      <c r="G157" s="226"/>
      <c r="H157" s="224"/>
      <c r="I157" s="224"/>
      <c r="J157" s="224"/>
      <c r="K157" s="224"/>
    </row>
    <row r="158" spans="2:11" ht="16" x14ac:dyDescent="0.4">
      <c r="B158" s="243" t="s">
        <v>478</v>
      </c>
      <c r="C158" s="532">
        <f>'III. Data Inputs-BE'!C114</f>
        <v>0</v>
      </c>
      <c r="D158" s="224"/>
      <c r="E158" s="224"/>
      <c r="F158" s="237"/>
      <c r="G158" s="226"/>
      <c r="H158" s="224"/>
      <c r="I158" s="224"/>
      <c r="J158" s="224"/>
      <c r="K158" s="224"/>
    </row>
    <row r="159" spans="2:11" x14ac:dyDescent="0.3">
      <c r="B159" s="100"/>
      <c r="C159" s="36"/>
      <c r="D159" s="224"/>
      <c r="E159" s="224"/>
      <c r="F159" s="237"/>
      <c r="G159" s="226"/>
      <c r="H159" s="224"/>
      <c r="I159" s="224"/>
      <c r="J159" s="224"/>
      <c r="K159" s="224"/>
    </row>
    <row r="160" spans="2:11" s="4" customFormat="1" ht="28" x14ac:dyDescent="0.4">
      <c r="B160" s="365" t="s">
        <v>484</v>
      </c>
      <c r="C160" s="128" t="s">
        <v>480</v>
      </c>
      <c r="D160" s="128" t="s">
        <v>481</v>
      </c>
      <c r="E160" s="128" t="s">
        <v>482</v>
      </c>
      <c r="F160" s="412" t="s">
        <v>483</v>
      </c>
      <c r="G160" s="57"/>
    </row>
    <row r="161" spans="2:11" ht="12.5" x14ac:dyDescent="0.25">
      <c r="B161" s="533">
        <f>'IV. Data Inputs-PE'!$B$129</f>
        <v>0</v>
      </c>
      <c r="C161" s="175">
        <f>'IV. Data Inputs-PE'!$C$129</f>
        <v>0</v>
      </c>
      <c r="D161" s="175">
        <f>'IV. Data Inputs-PE'!J146</f>
        <v>0</v>
      </c>
      <c r="E161" s="176">
        <f>C161*D161</f>
        <v>0</v>
      </c>
      <c r="F161" s="625"/>
      <c r="G161" s="41"/>
    </row>
    <row r="162" spans="2:11" ht="12.5" x14ac:dyDescent="0.25">
      <c r="B162" s="533">
        <f>'IV. Data Inputs-PE'!$B$130</f>
        <v>0</v>
      </c>
      <c r="C162" s="175">
        <f>'IV. Data Inputs-PE'!$C$130</f>
        <v>0</v>
      </c>
      <c r="D162" s="175">
        <f>'IV. Data Inputs-PE'!J147</f>
        <v>0</v>
      </c>
      <c r="E162" s="176">
        <f t="shared" ref="E162:E172" si="7">C162*D162</f>
        <v>0</v>
      </c>
      <c r="F162" s="625"/>
      <c r="G162" s="41"/>
    </row>
    <row r="163" spans="2:11" ht="12.5" x14ac:dyDescent="0.25">
      <c r="B163" s="533">
        <f>'IV. Data Inputs-PE'!$B$132</f>
        <v>0</v>
      </c>
      <c r="C163" s="175">
        <f>'IV. Data Inputs-PE'!$C$132</f>
        <v>0</v>
      </c>
      <c r="D163" s="175">
        <f>'IV. Data Inputs-PE'!J150</f>
        <v>0</v>
      </c>
      <c r="E163" s="176">
        <f t="shared" si="7"/>
        <v>0</v>
      </c>
      <c r="F163" s="625"/>
      <c r="G163" s="41"/>
    </row>
    <row r="164" spans="2:11" ht="12.5" x14ac:dyDescent="0.25">
      <c r="B164" s="533">
        <f>'IV. Data Inputs-PE'!$B$133</f>
        <v>0</v>
      </c>
      <c r="C164" s="175">
        <f>'IV. Data Inputs-PE'!$C$133</f>
        <v>0</v>
      </c>
      <c r="D164" s="175">
        <f>'IV. Data Inputs-PE'!J151</f>
        <v>0</v>
      </c>
      <c r="E164" s="176">
        <f t="shared" si="7"/>
        <v>0</v>
      </c>
      <c r="F164" s="625"/>
      <c r="G164" s="41"/>
    </row>
    <row r="165" spans="2:11" ht="12.5" x14ac:dyDescent="0.25">
      <c r="B165" s="533">
        <f>'IV. Data Inputs-PE'!$B$134</f>
        <v>0</v>
      </c>
      <c r="C165" s="175">
        <f>'IV. Data Inputs-PE'!$C$134</f>
        <v>0</v>
      </c>
      <c r="D165" s="175">
        <f>'IV. Data Inputs-PE'!J152</f>
        <v>0</v>
      </c>
      <c r="E165" s="176">
        <f t="shared" si="7"/>
        <v>0</v>
      </c>
      <c r="F165" s="625"/>
      <c r="G165" s="41"/>
    </row>
    <row r="166" spans="2:11" ht="12.5" x14ac:dyDescent="0.25">
      <c r="B166" s="533">
        <f>'IV. Data Inputs-PE'!$B$135</f>
        <v>0</v>
      </c>
      <c r="C166" s="175">
        <f>'IV. Data Inputs-PE'!$C$135</f>
        <v>0</v>
      </c>
      <c r="D166" s="175">
        <f>'IV. Data Inputs-PE'!J153</f>
        <v>0</v>
      </c>
      <c r="E166" s="176">
        <f t="shared" si="7"/>
        <v>0</v>
      </c>
      <c r="F166" s="625"/>
      <c r="G166" s="41"/>
    </row>
    <row r="167" spans="2:11" ht="12.5" x14ac:dyDescent="0.25">
      <c r="B167" s="533">
        <f>'IV. Data Inputs-PE'!$B$136</f>
        <v>0</v>
      </c>
      <c r="C167" s="175">
        <f>'IV. Data Inputs-PE'!$C$136</f>
        <v>0</v>
      </c>
      <c r="D167" s="175">
        <f>'IV. Data Inputs-PE'!J154</f>
        <v>0</v>
      </c>
      <c r="E167" s="176">
        <f t="shared" si="7"/>
        <v>0</v>
      </c>
      <c r="F167" s="625"/>
      <c r="G167" s="41"/>
    </row>
    <row r="168" spans="2:11" ht="12.5" x14ac:dyDescent="0.25">
      <c r="B168" s="533">
        <f>'IV. Data Inputs-PE'!$B$137</f>
        <v>0</v>
      </c>
      <c r="C168" s="175">
        <f>'IV. Data Inputs-PE'!$C$137</f>
        <v>0</v>
      </c>
      <c r="D168" s="175">
        <f>'IV. Data Inputs-PE'!J155</f>
        <v>0</v>
      </c>
      <c r="E168" s="176">
        <f t="shared" si="7"/>
        <v>0</v>
      </c>
      <c r="F168" s="625"/>
      <c r="G168" s="41"/>
    </row>
    <row r="169" spans="2:11" ht="12.5" x14ac:dyDescent="0.25">
      <c r="B169" s="533">
        <f>'IV. Data Inputs-PE'!$B$138</f>
        <v>0</v>
      </c>
      <c r="C169" s="175">
        <f>'IV. Data Inputs-PE'!$C$138</f>
        <v>0</v>
      </c>
      <c r="D169" s="175">
        <f>'IV. Data Inputs-PE'!J156</f>
        <v>0</v>
      </c>
      <c r="E169" s="176">
        <f t="shared" si="7"/>
        <v>0</v>
      </c>
      <c r="F169" s="625"/>
      <c r="G169" s="41"/>
    </row>
    <row r="170" spans="2:11" ht="12.5" x14ac:dyDescent="0.25">
      <c r="B170" s="533">
        <f>'IV. Data Inputs-PE'!$B$139</f>
        <v>0</v>
      </c>
      <c r="C170" s="175">
        <f>'IV. Data Inputs-PE'!$C$139</f>
        <v>0</v>
      </c>
      <c r="D170" s="175">
        <f>'IV. Data Inputs-PE'!J157</f>
        <v>0</v>
      </c>
      <c r="E170" s="176">
        <f t="shared" si="7"/>
        <v>0</v>
      </c>
      <c r="F170" s="625"/>
      <c r="G170" s="41"/>
    </row>
    <row r="171" spans="2:11" ht="12.5" x14ac:dyDescent="0.25">
      <c r="B171" s="533">
        <f>'IV. Data Inputs-PE'!$B$140</f>
        <v>0</v>
      </c>
      <c r="C171" s="175">
        <f>'IV. Data Inputs-PE'!$C$140</f>
        <v>0</v>
      </c>
      <c r="D171" s="175">
        <f>'IV. Data Inputs-PE'!J158</f>
        <v>0</v>
      </c>
      <c r="E171" s="176">
        <f t="shared" si="7"/>
        <v>0</v>
      </c>
      <c r="F171" s="625"/>
      <c r="G171" s="41"/>
    </row>
    <row r="172" spans="2:11" ht="12.5" x14ac:dyDescent="0.25">
      <c r="B172" s="533">
        <f>'IV. Data Inputs-PE'!$B$141</f>
        <v>0</v>
      </c>
      <c r="C172" s="175">
        <f>'IV. Data Inputs-PE'!$C$141</f>
        <v>0</v>
      </c>
      <c r="D172" s="175">
        <f>'IV. Data Inputs-PE'!J159</f>
        <v>0</v>
      </c>
      <c r="E172" s="176">
        <f t="shared" si="7"/>
        <v>0</v>
      </c>
      <c r="F172" s="625"/>
      <c r="G172" s="41"/>
    </row>
    <row r="173" spans="2:11" x14ac:dyDescent="0.3">
      <c r="B173" s="243" t="s">
        <v>414</v>
      </c>
      <c r="C173" s="176">
        <f>SUM(C161:C172)</f>
        <v>0</v>
      </c>
      <c r="D173" s="176">
        <f>SUM(D161:D172)</f>
        <v>0</v>
      </c>
      <c r="E173" s="176">
        <f>SUM(E161:E172)</f>
        <v>0</v>
      </c>
      <c r="F173" s="239">
        <f>(C157*C158*'III. Data Inputs-BE'!G45*0.68)*(E173)</f>
        <v>0</v>
      </c>
      <c r="G173" s="41"/>
    </row>
    <row r="174" spans="2:11" x14ac:dyDescent="0.3">
      <c r="B174" s="100"/>
      <c r="E174" s="13"/>
      <c r="F174" s="235"/>
      <c r="G174" s="41"/>
    </row>
    <row r="175" spans="2:11" x14ac:dyDescent="0.3">
      <c r="B175" s="100"/>
      <c r="E175" s="13"/>
      <c r="F175" s="235"/>
      <c r="G175" s="41"/>
    </row>
    <row r="176" spans="2:11" x14ac:dyDescent="0.3">
      <c r="B176" s="626" t="str">
        <f>'III. Data Inputs-BE'!B59</f>
        <v>Population 9</v>
      </c>
      <c r="C176" s="627"/>
      <c r="D176" s="227"/>
      <c r="E176" s="227"/>
      <c r="F176" s="238"/>
      <c r="G176" s="228"/>
      <c r="H176" s="227"/>
      <c r="I176" s="227"/>
      <c r="J176" s="227"/>
      <c r="K176" s="227"/>
    </row>
    <row r="177" spans="2:11" ht="15" x14ac:dyDescent="0.4">
      <c r="B177" s="243" t="s">
        <v>477</v>
      </c>
      <c r="C177" s="531">
        <f>'VI. BE CH4,nAS'!E26</f>
        <v>0</v>
      </c>
      <c r="D177" s="224"/>
      <c r="E177" s="224"/>
      <c r="F177" s="237"/>
      <c r="G177" s="226"/>
      <c r="H177" s="224"/>
      <c r="I177" s="224"/>
      <c r="J177" s="224"/>
      <c r="K177" s="224"/>
    </row>
    <row r="178" spans="2:11" ht="16" x14ac:dyDescent="0.4">
      <c r="B178" s="243" t="s">
        <v>478</v>
      </c>
      <c r="C178" s="532">
        <f>'III. Data Inputs-BE'!C115</f>
        <v>0</v>
      </c>
      <c r="D178" s="224"/>
      <c r="E178" s="224"/>
      <c r="F178" s="237"/>
      <c r="G178" s="226"/>
      <c r="H178" s="224"/>
      <c r="I178" s="224"/>
      <c r="J178" s="224"/>
      <c r="K178" s="224"/>
    </row>
    <row r="179" spans="2:11" x14ac:dyDescent="0.3">
      <c r="B179" s="100"/>
      <c r="C179" s="36"/>
      <c r="D179" s="224"/>
      <c r="E179" s="224"/>
      <c r="F179" s="237"/>
      <c r="G179" s="226"/>
      <c r="H179" s="224"/>
      <c r="I179" s="224"/>
      <c r="J179" s="224"/>
      <c r="K179" s="224"/>
    </row>
    <row r="180" spans="2:11" s="4" customFormat="1" ht="28" x14ac:dyDescent="0.4">
      <c r="B180" s="365" t="s">
        <v>484</v>
      </c>
      <c r="C180" s="128" t="s">
        <v>480</v>
      </c>
      <c r="D180" s="128" t="s">
        <v>481</v>
      </c>
      <c r="E180" s="128" t="s">
        <v>482</v>
      </c>
      <c r="F180" s="412" t="s">
        <v>483</v>
      </c>
      <c r="G180" s="57"/>
    </row>
    <row r="181" spans="2:11" ht="12.5" x14ac:dyDescent="0.25">
      <c r="B181" s="533">
        <f>'IV. Data Inputs-PE'!$B$129</f>
        <v>0</v>
      </c>
      <c r="C181" s="175">
        <f>'IV. Data Inputs-PE'!$C$129</f>
        <v>0</v>
      </c>
      <c r="D181" s="175">
        <f>'IV. Data Inputs-PE'!K146</f>
        <v>0</v>
      </c>
      <c r="E181" s="176">
        <f>C181*D181</f>
        <v>0</v>
      </c>
      <c r="F181" s="625"/>
      <c r="G181" s="41"/>
    </row>
    <row r="182" spans="2:11" ht="12.5" x14ac:dyDescent="0.25">
      <c r="B182" s="533">
        <f>'IV. Data Inputs-PE'!$B$130</f>
        <v>0</v>
      </c>
      <c r="C182" s="175">
        <f>'IV. Data Inputs-PE'!$C$130</f>
        <v>0</v>
      </c>
      <c r="D182" s="175">
        <f>'IV. Data Inputs-PE'!K147</f>
        <v>0</v>
      </c>
      <c r="E182" s="176">
        <f t="shared" ref="E182:E192" si="8">C182*D182</f>
        <v>0</v>
      </c>
      <c r="F182" s="625"/>
      <c r="G182" s="41"/>
    </row>
    <row r="183" spans="2:11" ht="12.5" x14ac:dyDescent="0.25">
      <c r="B183" s="533">
        <f>'IV. Data Inputs-PE'!$B$132</f>
        <v>0</v>
      </c>
      <c r="C183" s="175">
        <f>'IV. Data Inputs-PE'!$C$132</f>
        <v>0</v>
      </c>
      <c r="D183" s="175">
        <f>'IV. Data Inputs-PE'!K150</f>
        <v>0</v>
      </c>
      <c r="E183" s="176">
        <f t="shared" si="8"/>
        <v>0</v>
      </c>
      <c r="F183" s="625"/>
      <c r="G183" s="41"/>
    </row>
    <row r="184" spans="2:11" ht="12.5" x14ac:dyDescent="0.25">
      <c r="B184" s="533">
        <f>'IV. Data Inputs-PE'!$B$133</f>
        <v>0</v>
      </c>
      <c r="C184" s="175">
        <f>'IV. Data Inputs-PE'!$C$133</f>
        <v>0</v>
      </c>
      <c r="D184" s="175">
        <f>'IV. Data Inputs-PE'!K151</f>
        <v>0</v>
      </c>
      <c r="E184" s="176">
        <f t="shared" si="8"/>
        <v>0</v>
      </c>
      <c r="F184" s="625"/>
      <c r="G184" s="41"/>
    </row>
    <row r="185" spans="2:11" ht="12.5" x14ac:dyDescent="0.25">
      <c r="B185" s="533">
        <f>'IV. Data Inputs-PE'!$B$134</f>
        <v>0</v>
      </c>
      <c r="C185" s="175">
        <f>'IV. Data Inputs-PE'!$C$134</f>
        <v>0</v>
      </c>
      <c r="D185" s="175">
        <f>'IV. Data Inputs-PE'!K152</f>
        <v>0</v>
      </c>
      <c r="E185" s="176">
        <f t="shared" si="8"/>
        <v>0</v>
      </c>
      <c r="F185" s="625"/>
      <c r="G185" s="41"/>
    </row>
    <row r="186" spans="2:11" ht="12.5" x14ac:dyDescent="0.25">
      <c r="B186" s="533">
        <f>'IV. Data Inputs-PE'!$B$135</f>
        <v>0</v>
      </c>
      <c r="C186" s="175">
        <f>'IV. Data Inputs-PE'!$C$135</f>
        <v>0</v>
      </c>
      <c r="D186" s="175">
        <f>'IV. Data Inputs-PE'!K153</f>
        <v>0</v>
      </c>
      <c r="E186" s="176">
        <f t="shared" si="8"/>
        <v>0</v>
      </c>
      <c r="F186" s="625"/>
      <c r="G186" s="41"/>
    </row>
    <row r="187" spans="2:11" ht="12.5" x14ac:dyDescent="0.25">
      <c r="B187" s="533">
        <f>'IV. Data Inputs-PE'!$B$136</f>
        <v>0</v>
      </c>
      <c r="C187" s="175">
        <f>'IV. Data Inputs-PE'!$C$136</f>
        <v>0</v>
      </c>
      <c r="D187" s="175">
        <f>'IV. Data Inputs-PE'!K154</f>
        <v>0</v>
      </c>
      <c r="E187" s="176">
        <f t="shared" si="8"/>
        <v>0</v>
      </c>
      <c r="F187" s="625"/>
      <c r="G187" s="41"/>
    </row>
    <row r="188" spans="2:11" ht="12.5" x14ac:dyDescent="0.25">
      <c r="B188" s="533">
        <f>'IV. Data Inputs-PE'!$B$137</f>
        <v>0</v>
      </c>
      <c r="C188" s="175">
        <f>'IV. Data Inputs-PE'!$C$137</f>
        <v>0</v>
      </c>
      <c r="D188" s="175">
        <f>'IV. Data Inputs-PE'!K155</f>
        <v>0</v>
      </c>
      <c r="E188" s="176">
        <f t="shared" si="8"/>
        <v>0</v>
      </c>
      <c r="F188" s="625"/>
      <c r="G188" s="41"/>
    </row>
    <row r="189" spans="2:11" ht="12.5" x14ac:dyDescent="0.25">
      <c r="B189" s="533">
        <f>'IV. Data Inputs-PE'!$B$138</f>
        <v>0</v>
      </c>
      <c r="C189" s="175">
        <f>'IV. Data Inputs-PE'!$C$138</f>
        <v>0</v>
      </c>
      <c r="D189" s="175">
        <f>'IV. Data Inputs-PE'!K156</f>
        <v>0</v>
      </c>
      <c r="E189" s="176">
        <f t="shared" si="8"/>
        <v>0</v>
      </c>
      <c r="F189" s="625"/>
      <c r="G189" s="41"/>
    </row>
    <row r="190" spans="2:11" ht="12.5" x14ac:dyDescent="0.25">
      <c r="B190" s="533">
        <f>'IV. Data Inputs-PE'!$B$139</f>
        <v>0</v>
      </c>
      <c r="C190" s="175">
        <f>'IV. Data Inputs-PE'!$C$139</f>
        <v>0</v>
      </c>
      <c r="D190" s="175">
        <f>'IV. Data Inputs-PE'!K157</f>
        <v>0</v>
      </c>
      <c r="E190" s="176">
        <f t="shared" si="8"/>
        <v>0</v>
      </c>
      <c r="F190" s="625"/>
      <c r="G190" s="41"/>
    </row>
    <row r="191" spans="2:11" ht="12.5" x14ac:dyDescent="0.25">
      <c r="B191" s="533">
        <f>'IV. Data Inputs-PE'!$B$140</f>
        <v>0</v>
      </c>
      <c r="C191" s="175">
        <f>'IV. Data Inputs-PE'!$C$140</f>
        <v>0</v>
      </c>
      <c r="D191" s="175">
        <f>'IV. Data Inputs-PE'!K158</f>
        <v>0</v>
      </c>
      <c r="E191" s="176">
        <f t="shared" si="8"/>
        <v>0</v>
      </c>
      <c r="F191" s="625"/>
      <c r="G191" s="41"/>
    </row>
    <row r="192" spans="2:11" ht="12.5" x14ac:dyDescent="0.25">
      <c r="B192" s="533">
        <f>'IV. Data Inputs-PE'!$B$141</f>
        <v>0</v>
      </c>
      <c r="C192" s="175">
        <f>'IV. Data Inputs-PE'!$C$141</f>
        <v>0</v>
      </c>
      <c r="D192" s="175">
        <f>'IV. Data Inputs-PE'!K159</f>
        <v>0</v>
      </c>
      <c r="E192" s="176">
        <f t="shared" si="8"/>
        <v>0</v>
      </c>
      <c r="F192" s="625"/>
      <c r="G192" s="41"/>
    </row>
    <row r="193" spans="2:11" x14ac:dyDescent="0.3">
      <c r="B193" s="243" t="s">
        <v>414</v>
      </c>
      <c r="C193" s="176">
        <f>SUM(C181:C192)</f>
        <v>0</v>
      </c>
      <c r="D193" s="176">
        <f>SUM(D181:D192)</f>
        <v>0</v>
      </c>
      <c r="E193" s="176">
        <f>SUM(E181:E192)</f>
        <v>0</v>
      </c>
      <c r="F193" s="239">
        <f>(C177*C178*'III. Data Inputs-BE'!G45*0.68)*(E193)</f>
        <v>0</v>
      </c>
      <c r="G193" s="41"/>
    </row>
    <row r="194" spans="2:11" x14ac:dyDescent="0.3">
      <c r="B194" s="100"/>
      <c r="E194" s="13"/>
      <c r="F194" s="235"/>
      <c r="G194" s="41"/>
    </row>
    <row r="195" spans="2:11" x14ac:dyDescent="0.3">
      <c r="B195" s="100"/>
      <c r="E195" s="13"/>
      <c r="F195" s="235"/>
      <c r="G195" s="41"/>
    </row>
    <row r="196" spans="2:11" x14ac:dyDescent="0.3">
      <c r="B196" s="626" t="str">
        <f>'III. Data Inputs-BE'!B60</f>
        <v>Population 10</v>
      </c>
      <c r="C196" s="627"/>
      <c r="D196" s="227"/>
      <c r="E196" s="227"/>
      <c r="F196" s="238"/>
      <c r="G196" s="228"/>
      <c r="H196" s="227"/>
      <c r="I196" s="227"/>
      <c r="J196" s="227"/>
      <c r="K196" s="227"/>
    </row>
    <row r="197" spans="2:11" ht="15" x14ac:dyDescent="0.4">
      <c r="B197" s="243" t="s">
        <v>477</v>
      </c>
      <c r="C197" s="531">
        <f>'VI. BE CH4,nAS'!E27</f>
        <v>0</v>
      </c>
      <c r="D197" s="224"/>
      <c r="E197" s="224"/>
      <c r="F197" s="237"/>
      <c r="G197" s="226"/>
      <c r="H197" s="224"/>
      <c r="I197" s="224"/>
      <c r="J197" s="224"/>
      <c r="K197" s="224"/>
    </row>
    <row r="198" spans="2:11" ht="16" x14ac:dyDescent="0.4">
      <c r="B198" s="243" t="s">
        <v>478</v>
      </c>
      <c r="C198" s="532">
        <f>'III. Data Inputs-BE'!C116</f>
        <v>0</v>
      </c>
      <c r="D198" s="224"/>
      <c r="E198" s="224"/>
      <c r="F198" s="237"/>
      <c r="G198" s="226"/>
      <c r="H198" s="224"/>
      <c r="I198" s="224"/>
      <c r="J198" s="224"/>
      <c r="K198" s="224"/>
    </row>
    <row r="199" spans="2:11" x14ac:dyDescent="0.3">
      <c r="B199" s="100"/>
      <c r="C199" s="36"/>
      <c r="D199" s="224"/>
      <c r="E199" s="224"/>
      <c r="F199" s="237"/>
      <c r="G199" s="226"/>
      <c r="H199" s="224"/>
      <c r="I199" s="224"/>
      <c r="J199" s="224"/>
      <c r="K199" s="224"/>
    </row>
    <row r="200" spans="2:11" s="4" customFormat="1" ht="28" x14ac:dyDescent="0.4">
      <c r="B200" s="365" t="s">
        <v>484</v>
      </c>
      <c r="C200" s="128" t="s">
        <v>480</v>
      </c>
      <c r="D200" s="128" t="s">
        <v>481</v>
      </c>
      <c r="E200" s="128" t="s">
        <v>482</v>
      </c>
      <c r="F200" s="412" t="s">
        <v>483</v>
      </c>
      <c r="G200" s="57"/>
    </row>
    <row r="201" spans="2:11" ht="12.5" x14ac:dyDescent="0.25">
      <c r="B201" s="533">
        <f>'IV. Data Inputs-PE'!$B$129</f>
        <v>0</v>
      </c>
      <c r="C201" s="175">
        <f>'IV. Data Inputs-PE'!$C$129</f>
        <v>0</v>
      </c>
      <c r="D201" s="175">
        <f>'IV. Data Inputs-PE'!L146</f>
        <v>0</v>
      </c>
      <c r="E201" s="176">
        <f>C201*D201</f>
        <v>0</v>
      </c>
      <c r="F201" s="625"/>
      <c r="G201" s="41"/>
    </row>
    <row r="202" spans="2:11" ht="12.5" x14ac:dyDescent="0.25">
      <c r="B202" s="533">
        <f>'IV. Data Inputs-PE'!$B$130</f>
        <v>0</v>
      </c>
      <c r="C202" s="175">
        <f>'IV. Data Inputs-PE'!$C$130</f>
        <v>0</v>
      </c>
      <c r="D202" s="175">
        <f>'IV. Data Inputs-PE'!L147</f>
        <v>0</v>
      </c>
      <c r="E202" s="176">
        <f t="shared" ref="E202:E212" si="9">C202*D202</f>
        <v>0</v>
      </c>
      <c r="F202" s="625"/>
      <c r="G202" s="41"/>
    </row>
    <row r="203" spans="2:11" ht="12.5" x14ac:dyDescent="0.25">
      <c r="B203" s="533">
        <f>'IV. Data Inputs-PE'!$B$132</f>
        <v>0</v>
      </c>
      <c r="C203" s="175">
        <f>'IV. Data Inputs-PE'!$C$132</f>
        <v>0</v>
      </c>
      <c r="D203" s="175">
        <f>'IV. Data Inputs-PE'!L150</f>
        <v>0</v>
      </c>
      <c r="E203" s="176">
        <f t="shared" si="9"/>
        <v>0</v>
      </c>
      <c r="F203" s="625"/>
      <c r="G203" s="41"/>
    </row>
    <row r="204" spans="2:11" ht="12.5" x14ac:dyDescent="0.25">
      <c r="B204" s="533">
        <f>'IV. Data Inputs-PE'!$B$133</f>
        <v>0</v>
      </c>
      <c r="C204" s="175">
        <f>'IV. Data Inputs-PE'!$C$133</f>
        <v>0</v>
      </c>
      <c r="D204" s="175">
        <f>'IV. Data Inputs-PE'!L151</f>
        <v>0</v>
      </c>
      <c r="E204" s="176">
        <f t="shared" si="9"/>
        <v>0</v>
      </c>
      <c r="F204" s="625"/>
      <c r="G204" s="41"/>
    </row>
    <row r="205" spans="2:11" ht="12.5" x14ac:dyDescent="0.25">
      <c r="B205" s="533">
        <f>'IV. Data Inputs-PE'!$B$134</f>
        <v>0</v>
      </c>
      <c r="C205" s="175">
        <f>'IV. Data Inputs-PE'!$C$134</f>
        <v>0</v>
      </c>
      <c r="D205" s="175">
        <f>'IV. Data Inputs-PE'!L152</f>
        <v>0</v>
      </c>
      <c r="E205" s="176">
        <f t="shared" si="9"/>
        <v>0</v>
      </c>
      <c r="F205" s="625"/>
      <c r="G205" s="41"/>
    </row>
    <row r="206" spans="2:11" ht="12.5" x14ac:dyDescent="0.25">
      <c r="B206" s="533">
        <f>'IV. Data Inputs-PE'!$B$135</f>
        <v>0</v>
      </c>
      <c r="C206" s="175">
        <f>'IV. Data Inputs-PE'!$C$135</f>
        <v>0</v>
      </c>
      <c r="D206" s="175">
        <f>'IV. Data Inputs-PE'!L153</f>
        <v>0</v>
      </c>
      <c r="E206" s="176">
        <f t="shared" si="9"/>
        <v>0</v>
      </c>
      <c r="F206" s="625"/>
      <c r="G206" s="41"/>
    </row>
    <row r="207" spans="2:11" ht="12.5" x14ac:dyDescent="0.25">
      <c r="B207" s="533">
        <f>'IV. Data Inputs-PE'!$B$136</f>
        <v>0</v>
      </c>
      <c r="C207" s="175">
        <f>'IV. Data Inputs-PE'!$C$136</f>
        <v>0</v>
      </c>
      <c r="D207" s="175">
        <f>'IV. Data Inputs-PE'!L154</f>
        <v>0</v>
      </c>
      <c r="E207" s="176">
        <f t="shared" si="9"/>
        <v>0</v>
      </c>
      <c r="F207" s="625"/>
      <c r="G207" s="41"/>
    </row>
    <row r="208" spans="2:11" ht="12.5" x14ac:dyDescent="0.25">
      <c r="B208" s="533">
        <f>'IV. Data Inputs-PE'!$B$137</f>
        <v>0</v>
      </c>
      <c r="C208" s="175">
        <f>'IV. Data Inputs-PE'!$C$137</f>
        <v>0</v>
      </c>
      <c r="D208" s="175">
        <f>'IV. Data Inputs-PE'!L155</f>
        <v>0</v>
      </c>
      <c r="E208" s="176">
        <f t="shared" si="9"/>
        <v>0</v>
      </c>
      <c r="F208" s="625"/>
      <c r="G208" s="41"/>
    </row>
    <row r="209" spans="2:7" ht="12.5" x14ac:dyDescent="0.25">
      <c r="B209" s="533">
        <f>'IV. Data Inputs-PE'!$B$138</f>
        <v>0</v>
      </c>
      <c r="C209" s="175">
        <f>'IV. Data Inputs-PE'!$C$138</f>
        <v>0</v>
      </c>
      <c r="D209" s="175">
        <f>'IV. Data Inputs-PE'!L156</f>
        <v>0</v>
      </c>
      <c r="E209" s="176">
        <f t="shared" si="9"/>
        <v>0</v>
      </c>
      <c r="F209" s="625"/>
      <c r="G209" s="41"/>
    </row>
    <row r="210" spans="2:7" ht="12.5" x14ac:dyDescent="0.25">
      <c r="B210" s="533">
        <f>'IV. Data Inputs-PE'!$B$139</f>
        <v>0</v>
      </c>
      <c r="C210" s="175">
        <f>'IV. Data Inputs-PE'!$C$139</f>
        <v>0</v>
      </c>
      <c r="D210" s="175">
        <f>'IV. Data Inputs-PE'!L157</f>
        <v>0</v>
      </c>
      <c r="E210" s="176">
        <f t="shared" si="9"/>
        <v>0</v>
      </c>
      <c r="F210" s="625"/>
      <c r="G210" s="41"/>
    </row>
    <row r="211" spans="2:7" ht="12.5" x14ac:dyDescent="0.25">
      <c r="B211" s="533">
        <f>'IV. Data Inputs-PE'!$B$140</f>
        <v>0</v>
      </c>
      <c r="C211" s="175">
        <f>'IV. Data Inputs-PE'!$C$140</f>
        <v>0</v>
      </c>
      <c r="D211" s="175">
        <f>'IV. Data Inputs-PE'!L158</f>
        <v>0</v>
      </c>
      <c r="E211" s="176">
        <f t="shared" si="9"/>
        <v>0</v>
      </c>
      <c r="F211" s="625"/>
      <c r="G211" s="41"/>
    </row>
    <row r="212" spans="2:7" ht="12.5" x14ac:dyDescent="0.25">
      <c r="B212" s="533">
        <f>'IV. Data Inputs-PE'!$B$141</f>
        <v>0</v>
      </c>
      <c r="C212" s="175">
        <f>'IV. Data Inputs-PE'!$C$141</f>
        <v>0</v>
      </c>
      <c r="D212" s="175">
        <f>'IV. Data Inputs-PE'!L159</f>
        <v>0</v>
      </c>
      <c r="E212" s="176">
        <f t="shared" si="9"/>
        <v>0</v>
      </c>
      <c r="F212" s="625"/>
      <c r="G212" s="41"/>
    </row>
    <row r="213" spans="2:7" s="3" customFormat="1" x14ac:dyDescent="0.3">
      <c r="B213" s="243" t="s">
        <v>414</v>
      </c>
      <c r="C213" s="176">
        <f>SUM(C201:C212)</f>
        <v>0</v>
      </c>
      <c r="D213" s="176">
        <f>SUM(D201:D212)</f>
        <v>0</v>
      </c>
      <c r="E213" s="176">
        <f>SUM(E201:E212)</f>
        <v>0</v>
      </c>
      <c r="F213" s="239">
        <f>(C197*C198*'III. Data Inputs-BE'!G45*0.68)*(E213)</f>
        <v>0</v>
      </c>
      <c r="G213" s="58"/>
    </row>
    <row r="214" spans="2:7" x14ac:dyDescent="0.3">
      <c r="B214" s="100"/>
      <c r="E214" s="13"/>
      <c r="F214" s="235"/>
      <c r="G214" s="41"/>
    </row>
    <row r="215" spans="2:7" x14ac:dyDescent="0.3">
      <c r="B215" s="100"/>
      <c r="E215" s="13"/>
      <c r="F215" s="235"/>
      <c r="G215" s="41"/>
    </row>
    <row r="217" spans="2:7" ht="15.5" x14ac:dyDescent="0.35">
      <c r="B217" s="89" t="s">
        <v>485</v>
      </c>
    </row>
    <row r="219" spans="2:7" s="4" customFormat="1" ht="30" x14ac:dyDescent="0.4">
      <c r="B219" s="128" t="s">
        <v>131</v>
      </c>
      <c r="C219" s="365" t="s">
        <v>486</v>
      </c>
      <c r="D219" s="128" t="s">
        <v>487</v>
      </c>
      <c r="E219" s="128" t="s">
        <v>488</v>
      </c>
      <c r="F219" s="412" t="s">
        <v>489</v>
      </c>
      <c r="G219" s="448" t="s">
        <v>490</v>
      </c>
    </row>
    <row r="220" spans="2:7" x14ac:dyDescent="0.3">
      <c r="B220" s="533" t="str">
        <f>'III. Data Inputs-BE'!B107</f>
        <v>Population 1</v>
      </c>
      <c r="C220" s="175">
        <f>F33</f>
        <v>0</v>
      </c>
      <c r="D220" s="175">
        <f>'III. Data Inputs-BE'!C82</f>
        <v>1</v>
      </c>
      <c r="E220" s="175">
        <f>C220*D220</f>
        <v>0</v>
      </c>
      <c r="F220" s="239">
        <f>E220*0.001</f>
        <v>0</v>
      </c>
      <c r="G220" s="462">
        <f t="shared" ref="G220:G230" si="10">F220*gwp_ch4</f>
        <v>0</v>
      </c>
    </row>
    <row r="221" spans="2:7" x14ac:dyDescent="0.3">
      <c r="B221" s="533" t="str">
        <f>'III. Data Inputs-BE'!B108</f>
        <v>Population 2</v>
      </c>
      <c r="C221" s="175">
        <f>F53</f>
        <v>0</v>
      </c>
      <c r="D221" s="175">
        <f>'III. Data Inputs-BE'!D82</f>
        <v>2</v>
      </c>
      <c r="E221" s="175">
        <f t="shared" ref="E221:E229" si="11">C221*D221</f>
        <v>0</v>
      </c>
      <c r="F221" s="239">
        <f t="shared" ref="F221:F229" si="12">E221*0.001</f>
        <v>0</v>
      </c>
      <c r="G221" s="462">
        <f t="shared" si="10"/>
        <v>0</v>
      </c>
    </row>
    <row r="222" spans="2:7" x14ac:dyDescent="0.3">
      <c r="B222" s="533" t="str">
        <f>'III. Data Inputs-BE'!B109</f>
        <v>Population 3</v>
      </c>
      <c r="C222" s="175">
        <f>F73</f>
        <v>0</v>
      </c>
      <c r="D222" s="175">
        <f>'III. Data Inputs-BE'!E82</f>
        <v>0</v>
      </c>
      <c r="E222" s="175">
        <f t="shared" si="11"/>
        <v>0</v>
      </c>
      <c r="F222" s="239">
        <f t="shared" si="12"/>
        <v>0</v>
      </c>
      <c r="G222" s="462">
        <f t="shared" si="10"/>
        <v>0</v>
      </c>
    </row>
    <row r="223" spans="2:7" x14ac:dyDescent="0.3">
      <c r="B223" s="533" t="str">
        <f>'III. Data Inputs-BE'!B110</f>
        <v>Population 4</v>
      </c>
      <c r="C223" s="175">
        <f>F93</f>
        <v>0</v>
      </c>
      <c r="D223" s="175">
        <f>'III. Data Inputs-BE'!F82</f>
        <v>0</v>
      </c>
      <c r="E223" s="175">
        <f t="shared" si="11"/>
        <v>0</v>
      </c>
      <c r="F223" s="239">
        <f t="shared" si="12"/>
        <v>0</v>
      </c>
      <c r="G223" s="462">
        <f t="shared" si="10"/>
        <v>0</v>
      </c>
    </row>
    <row r="224" spans="2:7" x14ac:dyDescent="0.3">
      <c r="B224" s="533" t="str">
        <f>'III. Data Inputs-BE'!B111</f>
        <v>Population 5</v>
      </c>
      <c r="C224" s="175">
        <f>F113</f>
        <v>0</v>
      </c>
      <c r="D224" s="175">
        <f>'III. Data Inputs-BE'!G82</f>
        <v>0</v>
      </c>
      <c r="E224" s="175">
        <f t="shared" si="11"/>
        <v>0</v>
      </c>
      <c r="F224" s="239">
        <f t="shared" si="12"/>
        <v>0</v>
      </c>
      <c r="G224" s="462">
        <f t="shared" si="10"/>
        <v>0</v>
      </c>
    </row>
    <row r="225" spans="2:7" x14ac:dyDescent="0.3">
      <c r="B225" s="533" t="str">
        <f>'III. Data Inputs-BE'!B112</f>
        <v>Population 6</v>
      </c>
      <c r="C225" s="175">
        <f>F133</f>
        <v>0</v>
      </c>
      <c r="D225" s="175">
        <f>'III. Data Inputs-BE'!H82</f>
        <v>0</v>
      </c>
      <c r="E225" s="175">
        <f t="shared" si="11"/>
        <v>0</v>
      </c>
      <c r="F225" s="239">
        <f t="shared" si="12"/>
        <v>0</v>
      </c>
      <c r="G225" s="462">
        <f t="shared" si="10"/>
        <v>0</v>
      </c>
    </row>
    <row r="226" spans="2:7" x14ac:dyDescent="0.3">
      <c r="B226" s="533" t="str">
        <f>'III. Data Inputs-BE'!B113</f>
        <v>Population 7</v>
      </c>
      <c r="C226" s="175">
        <f>F153</f>
        <v>0</v>
      </c>
      <c r="D226" s="175">
        <f>'III. Data Inputs-BE'!I82</f>
        <v>0</v>
      </c>
      <c r="E226" s="175">
        <f t="shared" si="11"/>
        <v>0</v>
      </c>
      <c r="F226" s="239">
        <f t="shared" si="12"/>
        <v>0</v>
      </c>
      <c r="G226" s="462">
        <f t="shared" si="10"/>
        <v>0</v>
      </c>
    </row>
    <row r="227" spans="2:7" x14ac:dyDescent="0.3">
      <c r="B227" s="533" t="str">
        <f>'III. Data Inputs-BE'!B114</f>
        <v>Population 8</v>
      </c>
      <c r="C227" s="175">
        <f>F173</f>
        <v>0</v>
      </c>
      <c r="D227" s="175">
        <f>'III. Data Inputs-BE'!J82</f>
        <v>0</v>
      </c>
      <c r="E227" s="175">
        <f t="shared" si="11"/>
        <v>0</v>
      </c>
      <c r="F227" s="239">
        <f t="shared" si="12"/>
        <v>0</v>
      </c>
      <c r="G227" s="462">
        <f t="shared" si="10"/>
        <v>0</v>
      </c>
    </row>
    <row r="228" spans="2:7" x14ac:dyDescent="0.3">
      <c r="B228" s="533" t="str">
        <f>'III. Data Inputs-BE'!B115</f>
        <v>Population 9</v>
      </c>
      <c r="C228" s="175">
        <f>F193</f>
        <v>0</v>
      </c>
      <c r="D228" s="175">
        <f>'III. Data Inputs-BE'!K82</f>
        <v>0</v>
      </c>
      <c r="E228" s="175">
        <f t="shared" si="11"/>
        <v>0</v>
      </c>
      <c r="F228" s="239">
        <f t="shared" si="12"/>
        <v>0</v>
      </c>
      <c r="G228" s="462">
        <f t="shared" si="10"/>
        <v>0</v>
      </c>
    </row>
    <row r="229" spans="2:7" x14ac:dyDescent="0.3">
      <c r="B229" s="533" t="str">
        <f>'III. Data Inputs-BE'!B116</f>
        <v>Population 10</v>
      </c>
      <c r="C229" s="175">
        <f>F213</f>
        <v>0</v>
      </c>
      <c r="D229" s="175">
        <f>'III. Data Inputs-BE'!L82</f>
        <v>0</v>
      </c>
      <c r="E229" s="175">
        <f t="shared" si="11"/>
        <v>0</v>
      </c>
      <c r="F229" s="239">
        <f t="shared" si="12"/>
        <v>0</v>
      </c>
      <c r="G229" s="462">
        <f t="shared" si="10"/>
        <v>0</v>
      </c>
    </row>
    <row r="230" spans="2:7" x14ac:dyDescent="0.3">
      <c r="B230" s="243" t="s">
        <v>414</v>
      </c>
      <c r="C230" s="379"/>
      <c r="D230" s="379"/>
      <c r="E230" s="70">
        <f>SUM(E220:E229)</f>
        <v>0</v>
      </c>
      <c r="F230" s="239">
        <f>E230*0.001</f>
        <v>0</v>
      </c>
      <c r="G230" s="462">
        <f t="shared" si="10"/>
        <v>0</v>
      </c>
    </row>
    <row r="231" spans="2:7" x14ac:dyDescent="0.25">
      <c r="E231" s="13"/>
      <c r="F231" s="235"/>
      <c r="G231" s="41"/>
    </row>
    <row r="233" spans="2:7" x14ac:dyDescent="0.3">
      <c r="B233" s="549" t="s">
        <v>229</v>
      </c>
      <c r="C233" s="554"/>
      <c r="D233" s="554"/>
    </row>
    <row r="234" spans="2:7" x14ac:dyDescent="0.3">
      <c r="B234" s="554"/>
      <c r="C234" s="554"/>
      <c r="D234" s="554"/>
    </row>
    <row r="235" spans="2:7" x14ac:dyDescent="0.3">
      <c r="B235" s="554"/>
      <c r="C235" s="554"/>
      <c r="D235" s="554"/>
    </row>
    <row r="236" spans="2:7" x14ac:dyDescent="0.3">
      <c r="B236" s="554"/>
      <c r="C236" s="554"/>
      <c r="D236" s="554"/>
    </row>
    <row r="237" spans="2:7" x14ac:dyDescent="0.3">
      <c r="B237" s="554"/>
      <c r="C237" s="554"/>
      <c r="D237" s="554"/>
    </row>
    <row r="238" spans="2:7" x14ac:dyDescent="0.3">
      <c r="B238" s="554"/>
      <c r="C238" s="554"/>
      <c r="D238" s="554"/>
    </row>
    <row r="239" spans="2:7" x14ac:dyDescent="0.3">
      <c r="B239" s="554"/>
      <c r="C239" s="554"/>
      <c r="D239" s="554"/>
    </row>
    <row r="240" spans="2:7" x14ac:dyDescent="0.3">
      <c r="B240" s="554"/>
      <c r="C240" s="554"/>
      <c r="D240" s="554"/>
    </row>
    <row r="241" spans="2:4" x14ac:dyDescent="0.3">
      <c r="B241" s="554"/>
      <c r="C241" s="554"/>
      <c r="D241" s="554"/>
    </row>
    <row r="242" spans="2:4" x14ac:dyDescent="0.3">
      <c r="B242" s="554"/>
      <c r="C242" s="554"/>
      <c r="D242" s="554"/>
    </row>
    <row r="243" spans="2:4" x14ac:dyDescent="0.3">
      <c r="B243" s="554"/>
      <c r="C243" s="554"/>
      <c r="D243" s="554"/>
    </row>
    <row r="244" spans="2:4" x14ac:dyDescent="0.3">
      <c r="B244" s="554"/>
      <c r="C244" s="554"/>
      <c r="D244" s="554"/>
    </row>
    <row r="245" spans="2:4" x14ac:dyDescent="0.3">
      <c r="B245" s="554"/>
      <c r="C245" s="554"/>
      <c r="D245" s="554"/>
    </row>
    <row r="246" spans="2:4" x14ac:dyDescent="0.3">
      <c r="B246" s="554"/>
      <c r="C246" s="554"/>
      <c r="D246" s="554"/>
    </row>
    <row r="247" spans="2:4" x14ac:dyDescent="0.3">
      <c r="B247" s="554"/>
      <c r="C247" s="554"/>
      <c r="D247" s="554"/>
    </row>
    <row r="248" spans="2:4" x14ac:dyDescent="0.3">
      <c r="B248" s="554"/>
      <c r="C248" s="554"/>
      <c r="D248" s="554"/>
    </row>
    <row r="249" spans="2:4" x14ac:dyDescent="0.3">
      <c r="B249" s="554"/>
      <c r="C249" s="554"/>
      <c r="D249" s="554"/>
    </row>
    <row r="250" spans="2:4" x14ac:dyDescent="0.3">
      <c r="B250" s="554"/>
      <c r="C250" s="554"/>
      <c r="D250" s="554"/>
    </row>
    <row r="251" spans="2:4" x14ac:dyDescent="0.3">
      <c r="B251" s="554"/>
      <c r="C251" s="554"/>
      <c r="D251" s="554"/>
    </row>
    <row r="252" spans="2:4" x14ac:dyDescent="0.3">
      <c r="B252" s="554"/>
      <c r="C252" s="554"/>
      <c r="D252" s="554"/>
    </row>
    <row r="253" spans="2:4" x14ac:dyDescent="0.3">
      <c r="B253" s="554"/>
      <c r="C253" s="554"/>
      <c r="D253" s="554"/>
    </row>
  </sheetData>
  <sheetProtection algorithmName="SHA-512" hashValue="PbMZdspTCSVJRIE8pjP93nTC4tOuDuLEqHhiWAweNntm5Gel8GubSCtTe8VhCWEMFmJkEGGPlGEBepftH8RsKQ==" saltValue="bGHxksp8ooeVzFuqowgzBA==" spinCount="100000" sheet="1" objects="1" scenarios="1"/>
  <customSheetViews>
    <customSheetView guid="{A6F5A5FB-2E6E-47D3-842C-0D3D06DB341A}" scale="75">
      <selection activeCell="B2" sqref="B2"/>
      <rowBreaks count="3" manualBreakCount="3">
        <brk id="75" min="1" max="5" man="1"/>
        <brk id="135" min="1" max="5" man="1"/>
        <brk id="195" min="1" max="5" man="1"/>
      </rowBreaks>
      <pageMargins left="0" right="0" top="0" bottom="0" header="0" footer="0"/>
      <pageSetup scale="52" fitToHeight="4" orientation="portrait" r:id="rId1"/>
      <headerFooter alignWithMargins="0"/>
    </customSheetView>
  </customSheetViews>
  <mergeCells count="22">
    <mergeCell ref="F181:F192"/>
    <mergeCell ref="F201:F212"/>
    <mergeCell ref="F41:F52"/>
    <mergeCell ref="F61:F72"/>
    <mergeCell ref="F81:F92"/>
    <mergeCell ref="F101:F112"/>
    <mergeCell ref="F121:F132"/>
    <mergeCell ref="F141:F152"/>
    <mergeCell ref="F161:F172"/>
    <mergeCell ref="B233:D253"/>
    <mergeCell ref="B196:C196"/>
    <mergeCell ref="B96:C96"/>
    <mergeCell ref="B116:C116"/>
    <mergeCell ref="B136:C136"/>
    <mergeCell ref="B156:C156"/>
    <mergeCell ref="B176:C176"/>
    <mergeCell ref="F21:F32"/>
    <mergeCell ref="B76:C76"/>
    <mergeCell ref="B14:E14"/>
    <mergeCell ref="B36:C36"/>
    <mergeCell ref="B16:C16"/>
    <mergeCell ref="B56:C56"/>
  </mergeCells>
  <phoneticPr fontId="2" type="noConversion"/>
  <pageMargins left="0.75" right="0.75" top="1" bottom="1" header="0.5" footer="0.5"/>
  <pageSetup scale="52" fitToHeight="4" orientation="portrait" r:id="rId2"/>
  <headerFooter alignWithMargins="0"/>
  <rowBreaks count="3" manualBreakCount="3">
    <brk id="75" min="1" max="5" man="1"/>
    <brk id="135" min="1" max="5" man="1"/>
    <brk id="195" min="1" max="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B1:I39"/>
  <sheetViews>
    <sheetView showGridLines="0" topLeftCell="A15" zoomScale="80" zoomScaleNormal="80" workbookViewId="0">
      <selection activeCell="C37" sqref="C37"/>
    </sheetView>
  </sheetViews>
  <sheetFormatPr defaultColWidth="9.1796875" defaultRowHeight="13" x14ac:dyDescent="0.3"/>
  <cols>
    <col min="1" max="1" width="4.7265625" style="13" customWidth="1"/>
    <col min="2" max="2" width="46.1796875" style="13" customWidth="1"/>
    <col min="3" max="3" width="23.1796875" style="57" bestFit="1" customWidth="1"/>
    <col min="4" max="4" width="34.453125" style="13" customWidth="1"/>
    <col min="5" max="5" width="15.54296875" style="13" customWidth="1"/>
    <col min="6" max="6" width="25.81640625" style="13" bestFit="1" customWidth="1"/>
    <col min="7" max="7" width="24.54296875" style="13" bestFit="1" customWidth="1"/>
    <col min="8" max="8" width="27.1796875" style="13" bestFit="1" customWidth="1"/>
    <col min="9" max="16384" width="9.1796875" style="13"/>
  </cols>
  <sheetData>
    <row r="1" spans="2:9" x14ac:dyDescent="0.3">
      <c r="B1" s="14" t="s">
        <v>0</v>
      </c>
    </row>
    <row r="2" spans="2:9" x14ac:dyDescent="0.3">
      <c r="B2" s="14" t="s">
        <v>116</v>
      </c>
    </row>
    <row r="3" spans="2:9" x14ac:dyDescent="0.3">
      <c r="B3" s="14"/>
    </row>
    <row r="4" spans="2:9" ht="18" x14ac:dyDescent="0.4">
      <c r="B4" s="15" t="s">
        <v>491</v>
      </c>
    </row>
    <row r="5" spans="2:9" x14ac:dyDescent="0.3">
      <c r="B5" s="3"/>
    </row>
    <row r="6" spans="2:9" x14ac:dyDescent="0.3">
      <c r="B6" s="3" t="s">
        <v>118</v>
      </c>
      <c r="C6" s="69"/>
      <c r="D6" s="27"/>
      <c r="E6" s="4"/>
      <c r="F6" s="46"/>
      <c r="G6" s="46"/>
      <c r="H6" s="46"/>
      <c r="I6" s="46"/>
    </row>
    <row r="7" spans="2:9" x14ac:dyDescent="0.3">
      <c r="B7" s="94" t="s">
        <v>119</v>
      </c>
      <c r="C7" s="203" t="s">
        <v>174</v>
      </c>
      <c r="D7" s="222"/>
      <c r="E7" s="4"/>
      <c r="F7" s="46"/>
      <c r="G7" s="46"/>
      <c r="H7" s="46"/>
      <c r="I7" s="46"/>
    </row>
    <row r="8" spans="2:9" x14ac:dyDescent="0.3">
      <c r="B8" s="165" t="s">
        <v>121</v>
      </c>
      <c r="C8" s="205" t="s">
        <v>122</v>
      </c>
      <c r="D8" s="99"/>
      <c r="E8" s="4"/>
      <c r="F8" s="46"/>
      <c r="G8" s="46"/>
      <c r="H8" s="46"/>
      <c r="I8" s="46"/>
    </row>
    <row r="9" spans="2:9" x14ac:dyDescent="0.3">
      <c r="B9" s="251" t="s">
        <v>179</v>
      </c>
      <c r="C9" s="254" t="s">
        <v>180</v>
      </c>
      <c r="D9" s="249"/>
      <c r="E9" s="4"/>
      <c r="F9" s="46"/>
      <c r="G9" s="46"/>
      <c r="H9" s="46"/>
      <c r="I9" s="46"/>
    </row>
    <row r="10" spans="2:9" x14ac:dyDescent="0.3">
      <c r="B10" s="26"/>
      <c r="C10" s="69"/>
      <c r="D10" s="27"/>
      <c r="E10" s="4"/>
      <c r="F10" s="46"/>
      <c r="G10" s="46"/>
      <c r="H10" s="46"/>
      <c r="I10" s="46"/>
    </row>
    <row r="11" spans="2:9" x14ac:dyDescent="0.3">
      <c r="B11" s="100" t="s">
        <v>282</v>
      </c>
      <c r="C11" s="41"/>
      <c r="E11" s="3"/>
      <c r="F11" s="549" t="s">
        <v>229</v>
      </c>
      <c r="G11" s="554"/>
      <c r="H11" s="554"/>
    </row>
    <row r="12" spans="2:9" ht="34.5" customHeight="1" x14ac:dyDescent="0.25">
      <c r="B12" s="563" t="s">
        <v>492</v>
      </c>
      <c r="C12" s="563"/>
      <c r="D12" s="563"/>
      <c r="E12" s="36"/>
      <c r="F12" s="554"/>
      <c r="G12" s="554"/>
      <c r="H12" s="554"/>
    </row>
    <row r="13" spans="2:9" ht="15.75" customHeight="1" x14ac:dyDescent="0.3">
      <c r="B13" s="207"/>
      <c r="C13" s="137"/>
      <c r="D13" s="36"/>
      <c r="E13" s="36"/>
      <c r="F13" s="554"/>
      <c r="G13" s="554"/>
      <c r="H13" s="554"/>
    </row>
    <row r="14" spans="2:9" ht="15.5" x14ac:dyDescent="0.35">
      <c r="B14" s="209" t="s">
        <v>493</v>
      </c>
      <c r="F14" s="554"/>
      <c r="G14" s="554"/>
      <c r="H14" s="554"/>
    </row>
    <row r="15" spans="2:9" x14ac:dyDescent="0.3">
      <c r="B15" s="241"/>
      <c r="F15" s="554"/>
      <c r="G15" s="554"/>
      <c r="H15" s="554"/>
    </row>
    <row r="16" spans="2:9" ht="15" x14ac:dyDescent="0.4">
      <c r="B16" s="243" t="s">
        <v>494</v>
      </c>
      <c r="C16" s="242">
        <f>'VIII. PE CH4(BCS)'!J28</f>
        <v>0</v>
      </c>
      <c r="D16" s="4"/>
      <c r="E16" s="4"/>
      <c r="F16" s="554"/>
      <c r="G16" s="554"/>
      <c r="H16" s="554"/>
    </row>
    <row r="17" spans="2:8" ht="15" x14ac:dyDescent="0.4">
      <c r="B17" s="243" t="s">
        <v>495</v>
      </c>
      <c r="C17" s="242">
        <f>'VIII. PE CH4(BCS)'!K28</f>
        <v>0</v>
      </c>
      <c r="F17" s="554"/>
      <c r="G17" s="554"/>
      <c r="H17" s="554"/>
    </row>
    <row r="18" spans="2:8" x14ac:dyDescent="0.3">
      <c r="B18" s="39"/>
      <c r="F18" s="554"/>
      <c r="G18" s="554"/>
      <c r="H18" s="554"/>
    </row>
    <row r="19" spans="2:8" ht="15.5" x14ac:dyDescent="0.3">
      <c r="B19" s="240" t="s">
        <v>496</v>
      </c>
      <c r="F19" s="554"/>
      <c r="G19" s="554"/>
      <c r="H19" s="554"/>
    </row>
    <row r="20" spans="2:8" x14ac:dyDescent="0.3">
      <c r="F20" s="554"/>
      <c r="G20" s="554"/>
      <c r="H20" s="554"/>
    </row>
    <row r="21" spans="2:8" ht="15" x14ac:dyDescent="0.3">
      <c r="B21" s="80" t="s">
        <v>497</v>
      </c>
      <c r="C21" s="242">
        <f>'IX. PE CH4(V)'!H29</f>
        <v>0</v>
      </c>
      <c r="F21" s="554"/>
      <c r="G21" s="554"/>
      <c r="H21" s="554"/>
    </row>
    <row r="22" spans="2:8" ht="15" x14ac:dyDescent="0.3">
      <c r="B22" s="80" t="s">
        <v>498</v>
      </c>
      <c r="C22" s="242">
        <f>'IX. PE CH4(V)'!I29</f>
        <v>0</v>
      </c>
      <c r="F22" s="554"/>
      <c r="G22" s="554"/>
      <c r="H22" s="554"/>
    </row>
    <row r="23" spans="2:8" x14ac:dyDescent="0.3">
      <c r="B23" s="39"/>
      <c r="F23" s="554"/>
      <c r="G23" s="554"/>
      <c r="H23" s="554"/>
    </row>
    <row r="24" spans="2:8" ht="15.5" x14ac:dyDescent="0.35">
      <c r="B24" s="209" t="s">
        <v>499</v>
      </c>
      <c r="F24" s="554"/>
      <c r="G24" s="554"/>
      <c r="H24" s="554"/>
    </row>
    <row r="25" spans="2:8" x14ac:dyDescent="0.3">
      <c r="B25" s="3"/>
      <c r="F25" s="554"/>
      <c r="G25" s="554"/>
      <c r="H25" s="554"/>
    </row>
    <row r="26" spans="2:8" ht="15" x14ac:dyDescent="0.4">
      <c r="B26" s="243" t="s">
        <v>500</v>
      </c>
      <c r="C26" s="242">
        <f>'X. PE CH4(ET)'!C64</f>
        <v>0</v>
      </c>
      <c r="F26" s="554"/>
      <c r="G26" s="554"/>
      <c r="H26" s="554"/>
    </row>
    <row r="27" spans="2:8" ht="15" x14ac:dyDescent="0.4">
      <c r="B27" s="243" t="s">
        <v>501</v>
      </c>
      <c r="C27" s="242">
        <f>C26*gwp_ch4</f>
        <v>0</v>
      </c>
      <c r="D27" s="27"/>
      <c r="F27" s="554"/>
      <c r="G27" s="554"/>
      <c r="H27" s="554"/>
    </row>
    <row r="28" spans="2:8" x14ac:dyDescent="0.3">
      <c r="B28" s="3"/>
      <c r="D28" s="27"/>
      <c r="F28" s="554"/>
      <c r="G28" s="554"/>
      <c r="H28" s="554"/>
    </row>
    <row r="29" spans="2:8" ht="15.5" x14ac:dyDescent="0.35">
      <c r="B29" s="89" t="s">
        <v>502</v>
      </c>
      <c r="F29" s="554"/>
      <c r="G29" s="554"/>
      <c r="H29" s="554"/>
    </row>
    <row r="30" spans="2:8" x14ac:dyDescent="0.3">
      <c r="B30" s="100"/>
      <c r="F30" s="554"/>
      <c r="G30" s="554"/>
      <c r="H30" s="554"/>
    </row>
    <row r="31" spans="2:8" ht="15" x14ac:dyDescent="0.4">
      <c r="B31" s="243" t="s">
        <v>503</v>
      </c>
      <c r="C31" s="242">
        <f>'XI. PE CH4(nBCS)'!F230</f>
        <v>0</v>
      </c>
      <c r="D31" s="100"/>
      <c r="F31" s="554"/>
      <c r="G31" s="554"/>
      <c r="H31" s="554"/>
    </row>
    <row r="32" spans="2:8" ht="15" x14ac:dyDescent="0.4">
      <c r="B32" s="243" t="s">
        <v>504</v>
      </c>
      <c r="C32" s="242">
        <f>'XI. PE CH4(nBCS)'!G230</f>
        <v>0</v>
      </c>
      <c r="F32" s="554"/>
      <c r="G32" s="554"/>
      <c r="H32" s="554"/>
    </row>
    <row r="33" spans="2:8" x14ac:dyDescent="0.3">
      <c r="F33" s="554"/>
      <c r="G33" s="554"/>
      <c r="H33" s="554"/>
    </row>
    <row r="34" spans="2:8" x14ac:dyDescent="0.3">
      <c r="F34" s="554"/>
      <c r="G34" s="554"/>
      <c r="H34" s="554"/>
    </row>
    <row r="35" spans="2:8" ht="15.5" x14ac:dyDescent="0.35">
      <c r="B35" s="89" t="s">
        <v>505</v>
      </c>
      <c r="C35" s="41"/>
      <c r="F35" s="554"/>
      <c r="G35" s="554"/>
      <c r="H35" s="554"/>
    </row>
    <row r="36" spans="2:8" x14ac:dyDescent="0.3">
      <c r="B36" s="100"/>
      <c r="C36" s="41"/>
      <c r="F36" s="554"/>
      <c r="G36" s="554"/>
      <c r="H36" s="554"/>
    </row>
    <row r="37" spans="2:8" s="3" customFormat="1" ht="15" x14ac:dyDescent="0.4">
      <c r="B37" s="243" t="s">
        <v>506</v>
      </c>
      <c r="C37" s="530">
        <f>C16+C21+C26+C31</f>
        <v>0</v>
      </c>
      <c r="D37" s="74"/>
      <c r="E37" s="74"/>
      <c r="F37" s="554"/>
      <c r="G37" s="554"/>
      <c r="H37" s="554"/>
    </row>
    <row r="38" spans="2:8" s="3" customFormat="1" ht="15" x14ac:dyDescent="0.4">
      <c r="B38" s="243" t="s">
        <v>507</v>
      </c>
      <c r="C38" s="462">
        <f>C17+C22+C27+C32</f>
        <v>0</v>
      </c>
      <c r="D38" s="100"/>
      <c r="F38" s="554"/>
      <c r="G38" s="554"/>
      <c r="H38" s="554"/>
    </row>
    <row r="39" spans="2:8" x14ac:dyDescent="0.3">
      <c r="F39" s="554"/>
      <c r="G39" s="554"/>
      <c r="H39" s="554"/>
    </row>
  </sheetData>
  <sheetProtection algorithmName="SHA-512" hashValue="c/GHCMToxqUQM0EVrevuwAajSdl5iUFizsUn4Qkq0r0fnN/21OEjjh2PYAD8mBt8fEiZvYc+Seub/Rnkqe0zLA==" saltValue="5TGQdhqb8fsbo6SEA79P8g==" spinCount="100000" sheet="1" objects="1" scenarios="1"/>
  <customSheetViews>
    <customSheetView guid="{A6F5A5FB-2E6E-47D3-842C-0D3D06DB341A}" scale="75" topLeftCell="B1">
      <selection activeCell="B2" sqref="B2"/>
      <pageMargins left="0" right="0" top="0" bottom="0" header="0" footer="0"/>
      <pageSetup scale="80" orientation="portrait" r:id="rId1"/>
      <headerFooter alignWithMargins="0"/>
    </customSheetView>
  </customSheetViews>
  <mergeCells count="2">
    <mergeCell ref="B12:D12"/>
    <mergeCell ref="F11:H39"/>
  </mergeCells>
  <phoneticPr fontId="2" type="noConversion"/>
  <pageMargins left="0.75" right="0.75" top="1" bottom="1" header="0.5" footer="0.5"/>
  <pageSetup scale="80" orientation="portrait"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B1:M82"/>
  <sheetViews>
    <sheetView showGridLines="0" topLeftCell="A15" zoomScale="80" zoomScaleNormal="80" workbookViewId="0">
      <selection activeCell="B1" sqref="B1"/>
    </sheetView>
  </sheetViews>
  <sheetFormatPr defaultColWidth="9.1796875" defaultRowHeight="12.5" x14ac:dyDescent="0.25"/>
  <cols>
    <col min="1" max="1" width="4.1796875" style="13" customWidth="1"/>
    <col min="2" max="2" width="42.1796875" style="13" customWidth="1"/>
    <col min="3" max="3" width="23" style="13" customWidth="1"/>
    <col min="4" max="4" width="16.26953125" style="13" bestFit="1" customWidth="1"/>
    <col min="5" max="5" width="22.7265625" style="13" bestFit="1" customWidth="1"/>
    <col min="6" max="6" width="12.81640625" style="231" bestFit="1" customWidth="1"/>
    <col min="7" max="7" width="5.453125" style="13" customWidth="1"/>
    <col min="8" max="8" width="17.54296875" style="13" customWidth="1"/>
    <col min="9" max="9" width="16.7265625" style="13" customWidth="1"/>
    <col min="10" max="10" width="25.7265625" style="13" customWidth="1"/>
    <col min="11" max="16384" width="9.1796875" style="13"/>
  </cols>
  <sheetData>
    <row r="1" spans="2:13" ht="13" x14ac:dyDescent="0.3">
      <c r="B1" s="14" t="s">
        <v>0</v>
      </c>
    </row>
    <row r="2" spans="2:13" ht="13" x14ac:dyDescent="0.3">
      <c r="B2" s="14" t="s">
        <v>116</v>
      </c>
    </row>
    <row r="3" spans="2:13" ht="13" x14ac:dyDescent="0.3">
      <c r="B3" s="14"/>
    </row>
    <row r="4" spans="2:13" ht="18" x14ac:dyDescent="0.4">
      <c r="B4" s="15" t="s">
        <v>508</v>
      </c>
    </row>
    <row r="5" spans="2:13" ht="13" x14ac:dyDescent="0.3">
      <c r="B5" s="3"/>
    </row>
    <row r="6" spans="2:13" ht="13" x14ac:dyDescent="0.3">
      <c r="B6" s="3" t="s">
        <v>118</v>
      </c>
      <c r="C6" s="26"/>
      <c r="D6" s="27"/>
      <c r="E6" s="46"/>
      <c r="G6" s="46"/>
      <c r="H6" s="46"/>
      <c r="I6" s="46"/>
      <c r="J6" s="46"/>
      <c r="K6" s="46"/>
      <c r="L6" s="46"/>
      <c r="M6" s="46"/>
    </row>
    <row r="7" spans="2:13" ht="13" x14ac:dyDescent="0.3">
      <c r="B7" s="306" t="s">
        <v>119</v>
      </c>
      <c r="C7" s="307" t="s">
        <v>174</v>
      </c>
      <c r="D7" s="310"/>
      <c r="E7" s="46"/>
      <c r="G7" s="46"/>
      <c r="H7" s="46"/>
      <c r="I7" s="46"/>
      <c r="J7" s="46"/>
      <c r="K7" s="46"/>
      <c r="L7" s="46"/>
      <c r="M7" s="46"/>
    </row>
    <row r="8" spans="2:13" ht="13" x14ac:dyDescent="0.3">
      <c r="B8" s="165" t="s">
        <v>121</v>
      </c>
      <c r="C8" s="98" t="s">
        <v>122</v>
      </c>
      <c r="D8" s="99"/>
      <c r="E8" s="46"/>
      <c r="G8" s="46"/>
      <c r="H8" s="46"/>
      <c r="I8" s="46"/>
      <c r="J8" s="46"/>
      <c r="K8" s="46"/>
      <c r="L8" s="46"/>
      <c r="M8" s="46"/>
    </row>
    <row r="9" spans="2:13" ht="13" x14ac:dyDescent="0.3">
      <c r="B9" s="251" t="s">
        <v>179</v>
      </c>
      <c r="C9" s="248" t="s">
        <v>180</v>
      </c>
      <c r="D9" s="249"/>
      <c r="E9" s="46"/>
      <c r="G9" s="46"/>
      <c r="H9" s="46"/>
      <c r="I9" s="46"/>
      <c r="J9" s="46"/>
      <c r="K9" s="46"/>
      <c r="L9" s="46"/>
      <c r="M9" s="46"/>
    </row>
    <row r="10" spans="2:13" x14ac:dyDescent="0.25">
      <c r="B10" s="244"/>
      <c r="C10" s="244"/>
      <c r="D10" s="245"/>
      <c r="E10" s="46"/>
      <c r="G10" s="46"/>
      <c r="H10" s="46"/>
      <c r="I10" s="46"/>
      <c r="J10" s="46"/>
      <c r="K10" s="46"/>
      <c r="L10" s="46"/>
      <c r="M10" s="46"/>
    </row>
    <row r="11" spans="2:13" ht="15" customHeight="1" x14ac:dyDescent="0.3">
      <c r="B11" s="100" t="s">
        <v>282</v>
      </c>
      <c r="C11" s="26"/>
      <c r="D11" s="27"/>
      <c r="E11" s="46"/>
      <c r="G11" s="46"/>
      <c r="H11" s="46"/>
      <c r="I11" s="46"/>
      <c r="J11" s="46"/>
      <c r="K11" s="46"/>
      <c r="L11" s="46"/>
      <c r="M11" s="46"/>
    </row>
    <row r="12" spans="2:13" x14ac:dyDescent="0.25">
      <c r="B12" s="246" t="s">
        <v>509</v>
      </c>
      <c r="C12" s="26"/>
      <c r="D12" s="27"/>
      <c r="E12" s="46"/>
      <c r="G12" s="46"/>
      <c r="H12" s="46"/>
      <c r="I12" s="46"/>
      <c r="J12" s="46"/>
      <c r="K12" s="46"/>
      <c r="L12" s="46"/>
      <c r="M12" s="46"/>
    </row>
    <row r="13" spans="2:13" ht="26.25" customHeight="1" x14ac:dyDescent="0.35">
      <c r="B13" s="89" t="s">
        <v>510</v>
      </c>
      <c r="C13" s="26"/>
      <c r="D13" s="27"/>
      <c r="E13" s="46"/>
      <c r="G13" s="46"/>
      <c r="H13" s="46"/>
      <c r="I13" s="46"/>
      <c r="J13" s="46"/>
      <c r="K13" s="46"/>
      <c r="L13" s="46"/>
      <c r="M13" s="46"/>
    </row>
    <row r="14" spans="2:13" ht="13" x14ac:dyDescent="0.3">
      <c r="B14" s="109"/>
      <c r="C14" s="26"/>
      <c r="D14" s="27"/>
      <c r="E14" s="46"/>
      <c r="G14" s="46"/>
      <c r="H14" s="46"/>
      <c r="I14" s="46"/>
      <c r="J14" s="46"/>
      <c r="K14" s="46"/>
      <c r="L14" s="46"/>
      <c r="M14" s="46"/>
    </row>
    <row r="15" spans="2:13" ht="14" x14ac:dyDescent="0.4">
      <c r="B15" s="579" t="s">
        <v>511</v>
      </c>
      <c r="C15" s="562"/>
      <c r="D15" s="562"/>
      <c r="E15" s="562"/>
    </row>
    <row r="16" spans="2:13" ht="15" x14ac:dyDescent="0.4">
      <c r="B16" s="128" t="s">
        <v>285</v>
      </c>
      <c r="C16" s="128" t="s">
        <v>512</v>
      </c>
      <c r="D16" s="128" t="s">
        <v>287</v>
      </c>
      <c r="E16" s="128" t="s">
        <v>513</v>
      </c>
      <c r="F16" s="370" t="s">
        <v>514</v>
      </c>
      <c r="H16" s="602" t="s">
        <v>229</v>
      </c>
      <c r="I16" s="577"/>
      <c r="J16" s="603"/>
    </row>
    <row r="17" spans="2:10" x14ac:dyDescent="0.25">
      <c r="B17" s="337">
        <f>'III. Data Inputs-BE'!B204</f>
        <v>0</v>
      </c>
      <c r="C17" s="337">
        <f>'III. Data Inputs-BE'!C204</f>
        <v>0</v>
      </c>
      <c r="D17" s="337">
        <f>'III. Data Inputs-BE'!D204</f>
        <v>0</v>
      </c>
      <c r="E17" s="337">
        <f>'III. Data Inputs-BE'!E204</f>
        <v>0</v>
      </c>
      <c r="F17" s="425">
        <f>E17*D17*0.001</f>
        <v>0</v>
      </c>
      <c r="H17" s="604"/>
      <c r="I17" s="578"/>
      <c r="J17" s="605"/>
    </row>
    <row r="18" spans="2:10" x14ac:dyDescent="0.25">
      <c r="B18" s="337">
        <f>'III. Data Inputs-BE'!B205</f>
        <v>0</v>
      </c>
      <c r="C18" s="337">
        <f>'III. Data Inputs-BE'!C205</f>
        <v>0</v>
      </c>
      <c r="D18" s="337">
        <f>'III. Data Inputs-BE'!D205</f>
        <v>0</v>
      </c>
      <c r="E18" s="337">
        <f>'III. Data Inputs-BE'!E205</f>
        <v>0</v>
      </c>
      <c r="F18" s="425">
        <f t="shared" ref="F18:F25" si="0">E18*D18*0.001</f>
        <v>0</v>
      </c>
      <c r="H18" s="604"/>
      <c r="I18" s="578"/>
      <c r="J18" s="605"/>
    </row>
    <row r="19" spans="2:10" x14ac:dyDescent="0.25">
      <c r="B19" s="337">
        <f>'III. Data Inputs-BE'!B206</f>
        <v>0</v>
      </c>
      <c r="C19" s="337">
        <f>'III. Data Inputs-BE'!C206</f>
        <v>0</v>
      </c>
      <c r="D19" s="337">
        <f>'III. Data Inputs-BE'!D206</f>
        <v>0</v>
      </c>
      <c r="E19" s="337">
        <f>'III. Data Inputs-BE'!E206</f>
        <v>0</v>
      </c>
      <c r="F19" s="425">
        <f t="shared" si="0"/>
        <v>0</v>
      </c>
      <c r="H19" s="604"/>
      <c r="I19" s="578"/>
      <c r="J19" s="605"/>
    </row>
    <row r="20" spans="2:10" x14ac:dyDescent="0.25">
      <c r="B20" s="337">
        <f>'III. Data Inputs-BE'!B207</f>
        <v>0</v>
      </c>
      <c r="C20" s="337">
        <f>'III. Data Inputs-BE'!C207</f>
        <v>0</v>
      </c>
      <c r="D20" s="337">
        <f>'III. Data Inputs-BE'!D207</f>
        <v>0</v>
      </c>
      <c r="E20" s="337">
        <f>'III. Data Inputs-BE'!E207</f>
        <v>0</v>
      </c>
      <c r="F20" s="425">
        <f t="shared" si="0"/>
        <v>0</v>
      </c>
      <c r="H20" s="604"/>
      <c r="I20" s="578"/>
      <c r="J20" s="605"/>
    </row>
    <row r="21" spans="2:10" x14ac:dyDescent="0.25">
      <c r="B21" s="337">
        <f>'III. Data Inputs-BE'!B209</f>
        <v>0</v>
      </c>
      <c r="C21" s="337">
        <f>'III. Data Inputs-BE'!C209</f>
        <v>0</v>
      </c>
      <c r="D21" s="337">
        <f>'III. Data Inputs-BE'!D209</f>
        <v>0</v>
      </c>
      <c r="E21" s="337">
        <f>'III. Data Inputs-BE'!E209</f>
        <v>0</v>
      </c>
      <c r="F21" s="425">
        <f t="shared" si="0"/>
        <v>0</v>
      </c>
      <c r="H21" s="604"/>
      <c r="I21" s="578"/>
      <c r="J21" s="605"/>
    </row>
    <row r="22" spans="2:10" x14ac:dyDescent="0.25">
      <c r="B22" s="337">
        <f>'III. Data Inputs-BE'!B210</f>
        <v>0</v>
      </c>
      <c r="C22" s="337">
        <f>'III. Data Inputs-BE'!C210</f>
        <v>0</v>
      </c>
      <c r="D22" s="337">
        <f>'III. Data Inputs-BE'!D210</f>
        <v>0</v>
      </c>
      <c r="E22" s="337">
        <f>'III. Data Inputs-BE'!E210</f>
        <v>0</v>
      </c>
      <c r="F22" s="425">
        <f t="shared" si="0"/>
        <v>0</v>
      </c>
      <c r="H22" s="604"/>
      <c r="I22" s="578"/>
      <c r="J22" s="605"/>
    </row>
    <row r="23" spans="2:10" x14ac:dyDescent="0.25">
      <c r="B23" s="337">
        <f>'III. Data Inputs-BE'!B211</f>
        <v>0</v>
      </c>
      <c r="C23" s="337">
        <f>'III. Data Inputs-BE'!C211</f>
        <v>0</v>
      </c>
      <c r="D23" s="337">
        <f>'III. Data Inputs-BE'!D211</f>
        <v>0</v>
      </c>
      <c r="E23" s="337">
        <f>'III. Data Inputs-BE'!E211</f>
        <v>0</v>
      </c>
      <c r="F23" s="425">
        <f t="shared" si="0"/>
        <v>0</v>
      </c>
      <c r="H23" s="604"/>
      <c r="I23" s="578"/>
      <c r="J23" s="605"/>
    </row>
    <row r="24" spans="2:10" x14ac:dyDescent="0.25">
      <c r="B24" s="337">
        <f>'III. Data Inputs-BE'!B212</f>
        <v>0</v>
      </c>
      <c r="C24" s="337">
        <f>'III. Data Inputs-BE'!C212</f>
        <v>0</v>
      </c>
      <c r="D24" s="337">
        <f>'III. Data Inputs-BE'!D212</f>
        <v>0</v>
      </c>
      <c r="E24" s="337">
        <f>'III. Data Inputs-BE'!E212</f>
        <v>0</v>
      </c>
      <c r="F24" s="425">
        <f t="shared" si="0"/>
        <v>0</v>
      </c>
      <c r="H24" s="604"/>
      <c r="I24" s="578"/>
      <c r="J24" s="605"/>
    </row>
    <row r="25" spans="2:10" x14ac:dyDescent="0.25">
      <c r="B25" s="431">
        <f>'III. Data Inputs-BE'!B213</f>
        <v>0</v>
      </c>
      <c r="C25" s="431">
        <f>'III. Data Inputs-BE'!C213</f>
        <v>0</v>
      </c>
      <c r="D25" s="431">
        <f>'III. Data Inputs-BE'!D213</f>
        <v>0</v>
      </c>
      <c r="E25" s="431">
        <f>'III. Data Inputs-BE'!E213</f>
        <v>0</v>
      </c>
      <c r="F25" s="425">
        <f t="shared" si="0"/>
        <v>0</v>
      </c>
      <c r="H25" s="604"/>
      <c r="I25" s="578"/>
      <c r="J25" s="605"/>
    </row>
    <row r="26" spans="2:10" ht="15" x14ac:dyDescent="0.4">
      <c r="B26" s="415" t="s">
        <v>515</v>
      </c>
      <c r="C26" s="428"/>
      <c r="D26" s="428"/>
      <c r="E26" s="429"/>
      <c r="F26" s="427">
        <f>SUM(F17:F25)</f>
        <v>0</v>
      </c>
      <c r="H26" s="604"/>
      <c r="I26" s="578"/>
      <c r="J26" s="605"/>
    </row>
    <row r="27" spans="2:10" x14ac:dyDescent="0.25">
      <c r="H27" s="604"/>
      <c r="I27" s="578"/>
      <c r="J27" s="605"/>
    </row>
    <row r="28" spans="2:10" ht="14" x14ac:dyDescent="0.4">
      <c r="B28" s="579" t="s">
        <v>516</v>
      </c>
      <c r="C28" s="562"/>
      <c r="D28" s="562"/>
      <c r="E28" s="562"/>
      <c r="H28" s="604"/>
      <c r="I28" s="578"/>
      <c r="J28" s="605"/>
    </row>
    <row r="29" spans="2:10" ht="15" x14ac:dyDescent="0.4">
      <c r="B29" s="128" t="s">
        <v>299</v>
      </c>
      <c r="C29" s="128" t="s">
        <v>512</v>
      </c>
      <c r="D29" s="128" t="s">
        <v>300</v>
      </c>
      <c r="E29" s="128" t="s">
        <v>301</v>
      </c>
      <c r="F29" s="370" t="s">
        <v>514</v>
      </c>
      <c r="H29" s="604"/>
      <c r="I29" s="578"/>
      <c r="J29" s="605"/>
    </row>
    <row r="30" spans="2:10" x14ac:dyDescent="0.25">
      <c r="B30" s="337">
        <f>'III. Data Inputs-BE'!B218</f>
        <v>0</v>
      </c>
      <c r="C30" s="337">
        <f>'III. Data Inputs-BE'!C218</f>
        <v>0</v>
      </c>
      <c r="D30" s="337">
        <f>'III. Data Inputs-BE'!D218</f>
        <v>0</v>
      </c>
      <c r="E30" s="337">
        <f>'III. Data Inputs-BE'!E218</f>
        <v>0</v>
      </c>
      <c r="F30" s="425">
        <f>E30*D30*0.001</f>
        <v>0</v>
      </c>
      <c r="H30" s="604"/>
      <c r="I30" s="578"/>
      <c r="J30" s="605"/>
    </row>
    <row r="31" spans="2:10" x14ac:dyDescent="0.25">
      <c r="B31" s="337">
        <f>'III. Data Inputs-BE'!B219</f>
        <v>0</v>
      </c>
      <c r="C31" s="337">
        <f>'III. Data Inputs-BE'!C219</f>
        <v>0</v>
      </c>
      <c r="D31" s="337">
        <f>'III. Data Inputs-BE'!D219</f>
        <v>0</v>
      </c>
      <c r="E31" s="337">
        <f>'III. Data Inputs-BE'!E219</f>
        <v>0</v>
      </c>
      <c r="F31" s="425">
        <f t="shared" ref="F31:F38" si="1">E31*D31*0.001</f>
        <v>0</v>
      </c>
      <c r="H31" s="604"/>
      <c r="I31" s="578"/>
      <c r="J31" s="605"/>
    </row>
    <row r="32" spans="2:10" x14ac:dyDescent="0.25">
      <c r="B32" s="337">
        <f>'III. Data Inputs-BE'!B220</f>
        <v>0</v>
      </c>
      <c r="C32" s="337">
        <f>'III. Data Inputs-BE'!C220</f>
        <v>0</v>
      </c>
      <c r="D32" s="337">
        <f>'III. Data Inputs-BE'!D220</f>
        <v>0</v>
      </c>
      <c r="E32" s="337">
        <f>'III. Data Inputs-BE'!E220</f>
        <v>0</v>
      </c>
      <c r="F32" s="425">
        <f t="shared" si="1"/>
        <v>0</v>
      </c>
      <c r="H32" s="604"/>
      <c r="I32" s="578"/>
      <c r="J32" s="605"/>
    </row>
    <row r="33" spans="2:13" x14ac:dyDescent="0.25">
      <c r="B33" s="337">
        <f>'III. Data Inputs-BE'!B221</f>
        <v>0</v>
      </c>
      <c r="C33" s="337">
        <f>'III. Data Inputs-BE'!C221</f>
        <v>0</v>
      </c>
      <c r="D33" s="337">
        <f>'III. Data Inputs-BE'!D221</f>
        <v>0</v>
      </c>
      <c r="E33" s="337">
        <f>'III. Data Inputs-BE'!E221</f>
        <v>0</v>
      </c>
      <c r="F33" s="425">
        <f t="shared" si="1"/>
        <v>0</v>
      </c>
      <c r="H33" s="604"/>
      <c r="I33" s="578"/>
      <c r="J33" s="605"/>
    </row>
    <row r="34" spans="2:13" x14ac:dyDescent="0.25">
      <c r="B34" s="337">
        <f>'III. Data Inputs-BE'!B223</f>
        <v>0</v>
      </c>
      <c r="C34" s="337">
        <f>'III. Data Inputs-BE'!C223</f>
        <v>0</v>
      </c>
      <c r="D34" s="337">
        <f>'III. Data Inputs-BE'!D223</f>
        <v>0</v>
      </c>
      <c r="E34" s="337">
        <f>'III. Data Inputs-BE'!E223</f>
        <v>0</v>
      </c>
      <c r="F34" s="425">
        <f t="shared" si="1"/>
        <v>0</v>
      </c>
      <c r="H34" s="604"/>
      <c r="I34" s="578"/>
      <c r="J34" s="605"/>
    </row>
    <row r="35" spans="2:13" x14ac:dyDescent="0.25">
      <c r="B35" s="337">
        <f>'III. Data Inputs-BE'!B224</f>
        <v>0</v>
      </c>
      <c r="C35" s="337">
        <f>'III. Data Inputs-BE'!C224</f>
        <v>0</v>
      </c>
      <c r="D35" s="337">
        <f>'III. Data Inputs-BE'!D224</f>
        <v>0</v>
      </c>
      <c r="E35" s="337">
        <f>'III. Data Inputs-BE'!E224</f>
        <v>0</v>
      </c>
      <c r="F35" s="425">
        <f t="shared" si="1"/>
        <v>0</v>
      </c>
      <c r="H35" s="604"/>
      <c r="I35" s="578"/>
      <c r="J35" s="605"/>
    </row>
    <row r="36" spans="2:13" x14ac:dyDescent="0.25">
      <c r="B36" s="337">
        <f>'III. Data Inputs-BE'!B225</f>
        <v>0</v>
      </c>
      <c r="C36" s="337">
        <f>'III. Data Inputs-BE'!C225</f>
        <v>0</v>
      </c>
      <c r="D36" s="337">
        <f>'III. Data Inputs-BE'!D225</f>
        <v>0</v>
      </c>
      <c r="E36" s="337">
        <f>'III. Data Inputs-BE'!E225</f>
        <v>0</v>
      </c>
      <c r="F36" s="425">
        <f t="shared" si="1"/>
        <v>0</v>
      </c>
      <c r="H36" s="606"/>
      <c r="I36" s="607"/>
      <c r="J36" s="608"/>
    </row>
    <row r="37" spans="2:13" x14ac:dyDescent="0.25">
      <c r="B37" s="337">
        <f>'III. Data Inputs-BE'!B226</f>
        <v>0</v>
      </c>
      <c r="C37" s="337">
        <f>'III. Data Inputs-BE'!C226</f>
        <v>0</v>
      </c>
      <c r="D37" s="337">
        <f>'III. Data Inputs-BE'!D226</f>
        <v>0</v>
      </c>
      <c r="E37" s="337">
        <f>'III. Data Inputs-BE'!E226</f>
        <v>0</v>
      </c>
      <c r="F37" s="425">
        <f t="shared" si="1"/>
        <v>0</v>
      </c>
    </row>
    <row r="38" spans="2:13" x14ac:dyDescent="0.25">
      <c r="B38" s="431">
        <f>'III. Data Inputs-BE'!B227</f>
        <v>0</v>
      </c>
      <c r="C38" s="431">
        <f>'III. Data Inputs-BE'!C227</f>
        <v>0</v>
      </c>
      <c r="D38" s="431">
        <f>'III. Data Inputs-BE'!D227</f>
        <v>0</v>
      </c>
      <c r="E38" s="431">
        <f>'III. Data Inputs-BE'!E227</f>
        <v>0</v>
      </c>
      <c r="F38" s="425">
        <f t="shared" si="1"/>
        <v>0</v>
      </c>
    </row>
    <row r="39" spans="2:13" ht="15" x14ac:dyDescent="0.4">
      <c r="B39" s="415" t="s">
        <v>517</v>
      </c>
      <c r="C39" s="428"/>
      <c r="D39" s="428"/>
      <c r="E39" s="429"/>
      <c r="F39" s="427">
        <f>SUM(F30:F38)</f>
        <v>0</v>
      </c>
    </row>
    <row r="40" spans="2:13" ht="13" x14ac:dyDescent="0.3">
      <c r="B40" s="3"/>
      <c r="F40" s="113"/>
    </row>
    <row r="41" spans="2:13" ht="15" x14ac:dyDescent="0.4">
      <c r="B41" s="580" t="s">
        <v>518</v>
      </c>
      <c r="C41" s="580"/>
      <c r="D41" s="580"/>
      <c r="E41" s="580"/>
      <c r="F41" s="113"/>
      <c r="G41" s="46"/>
      <c r="H41" s="46"/>
      <c r="I41" s="46"/>
      <c r="J41" s="46"/>
      <c r="K41" s="46"/>
      <c r="L41" s="46"/>
      <c r="M41" s="46"/>
    </row>
    <row r="42" spans="2:13" ht="15" x14ac:dyDescent="0.4">
      <c r="B42" s="128" t="s">
        <v>305</v>
      </c>
      <c r="C42" s="128" t="s">
        <v>306</v>
      </c>
      <c r="D42" s="128" t="s">
        <v>307</v>
      </c>
      <c r="E42" s="128" t="s">
        <v>308</v>
      </c>
      <c r="F42" s="370" t="s">
        <v>514</v>
      </c>
      <c r="G42" s="46"/>
      <c r="H42" s="46"/>
      <c r="I42" s="46"/>
      <c r="J42" s="46"/>
      <c r="K42" s="46"/>
      <c r="L42" s="46"/>
      <c r="M42" s="46"/>
    </row>
    <row r="43" spans="2:13" x14ac:dyDescent="0.25">
      <c r="B43" s="337">
        <f>'III. Data Inputs-BE'!B233</f>
        <v>0</v>
      </c>
      <c r="C43" s="337">
        <f>'III. Data Inputs-BE'!C233</f>
        <v>0</v>
      </c>
      <c r="D43" s="432">
        <f>'III. Data Inputs-BE'!D233</f>
        <v>0</v>
      </c>
      <c r="E43" s="432">
        <f>'III. Data Inputs-BE'!E233</f>
        <v>0</v>
      </c>
      <c r="F43" s="425">
        <f>E43*D43*0.00045359237</f>
        <v>0</v>
      </c>
      <c r="G43" s="46"/>
      <c r="H43" s="46"/>
      <c r="I43" s="46"/>
      <c r="J43" s="46"/>
      <c r="K43" s="46"/>
      <c r="L43" s="46"/>
      <c r="M43" s="46"/>
    </row>
    <row r="44" spans="2:13" ht="13" x14ac:dyDescent="0.25">
      <c r="B44" s="46"/>
      <c r="C44" s="46"/>
      <c r="D44" s="46"/>
      <c r="E44" s="46"/>
      <c r="F44" s="370">
        <f>F43</f>
        <v>0</v>
      </c>
      <c r="G44" s="46"/>
      <c r="H44" s="46"/>
      <c r="I44" s="46"/>
      <c r="J44" s="46"/>
      <c r="K44" s="46"/>
      <c r="L44" s="46"/>
      <c r="M44" s="46"/>
    </row>
    <row r="45" spans="2:13" ht="13" x14ac:dyDescent="0.3">
      <c r="B45" s="3"/>
    </row>
    <row r="46" spans="2:13" ht="15" x14ac:dyDescent="0.4">
      <c r="B46" s="415" t="s">
        <v>519</v>
      </c>
      <c r="C46" s="428"/>
      <c r="D46" s="428"/>
      <c r="E46" s="429"/>
      <c r="F46" s="426">
        <f>F26+F39+F44</f>
        <v>0</v>
      </c>
      <c r="G46" s="3"/>
    </row>
    <row r="48" spans="2:13" ht="15.5" x14ac:dyDescent="0.35">
      <c r="B48" s="209" t="s">
        <v>520</v>
      </c>
    </row>
    <row r="49" spans="2:10" ht="13" x14ac:dyDescent="0.3">
      <c r="B49" s="16"/>
    </row>
    <row r="50" spans="2:10" ht="14" x14ac:dyDescent="0.4">
      <c r="B50" s="579" t="s">
        <v>521</v>
      </c>
      <c r="C50" s="562"/>
      <c r="D50" s="562"/>
      <c r="E50" s="562"/>
    </row>
    <row r="51" spans="2:10" ht="15" x14ac:dyDescent="0.4">
      <c r="B51" s="128" t="s">
        <v>285</v>
      </c>
      <c r="C51" s="128" t="s">
        <v>512</v>
      </c>
      <c r="D51" s="128" t="s">
        <v>287</v>
      </c>
      <c r="E51" s="128" t="s">
        <v>513</v>
      </c>
      <c r="F51" s="370" t="s">
        <v>522</v>
      </c>
      <c r="H51" s="602" t="s">
        <v>229</v>
      </c>
      <c r="I51" s="577"/>
      <c r="J51" s="603"/>
    </row>
    <row r="52" spans="2:10" x14ac:dyDescent="0.25">
      <c r="B52" s="337">
        <f>'IV. Data Inputs-PE'!B181</f>
        <v>0</v>
      </c>
      <c r="C52" s="337">
        <f>'IV. Data Inputs-PE'!C181</f>
        <v>0</v>
      </c>
      <c r="D52" s="337">
        <f>'IV. Data Inputs-PE'!D181</f>
        <v>0</v>
      </c>
      <c r="E52" s="337">
        <f>'IV. Data Inputs-PE'!E181</f>
        <v>0</v>
      </c>
      <c r="F52" s="425">
        <f t="shared" ref="F52:F60" si="2">E52*D52*0.001</f>
        <v>0</v>
      </c>
      <c r="H52" s="604"/>
      <c r="I52" s="578"/>
      <c r="J52" s="605"/>
    </row>
    <row r="53" spans="2:10" x14ac:dyDescent="0.25">
      <c r="B53" s="337">
        <f>'IV. Data Inputs-PE'!B182</f>
        <v>0</v>
      </c>
      <c r="C53" s="337">
        <f>'IV. Data Inputs-PE'!C182</f>
        <v>0</v>
      </c>
      <c r="D53" s="337">
        <f>'IV. Data Inputs-PE'!D182</f>
        <v>0</v>
      </c>
      <c r="E53" s="337">
        <f>'IV. Data Inputs-PE'!E182</f>
        <v>0</v>
      </c>
      <c r="F53" s="425">
        <f t="shared" si="2"/>
        <v>0</v>
      </c>
      <c r="H53" s="604"/>
      <c r="I53" s="578"/>
      <c r="J53" s="605"/>
    </row>
    <row r="54" spans="2:10" x14ac:dyDescent="0.25">
      <c r="B54" s="337">
        <f>'IV. Data Inputs-PE'!B183</f>
        <v>0</v>
      </c>
      <c r="C54" s="337">
        <f>'IV. Data Inputs-PE'!C183</f>
        <v>0</v>
      </c>
      <c r="D54" s="337">
        <f>'IV. Data Inputs-PE'!D183</f>
        <v>0</v>
      </c>
      <c r="E54" s="337">
        <f>'IV. Data Inputs-PE'!E183</f>
        <v>0</v>
      </c>
      <c r="F54" s="425">
        <f t="shared" si="2"/>
        <v>0</v>
      </c>
      <c r="H54" s="604"/>
      <c r="I54" s="578"/>
      <c r="J54" s="605"/>
    </row>
    <row r="55" spans="2:10" x14ac:dyDescent="0.25">
      <c r="B55" s="337">
        <f>'IV. Data Inputs-PE'!B184</f>
        <v>0</v>
      </c>
      <c r="C55" s="337">
        <f>'IV. Data Inputs-PE'!C184</f>
        <v>0</v>
      </c>
      <c r="D55" s="337">
        <f>'IV. Data Inputs-PE'!D184</f>
        <v>0</v>
      </c>
      <c r="E55" s="337">
        <f>'IV. Data Inputs-PE'!E184</f>
        <v>0</v>
      </c>
      <c r="F55" s="425">
        <f t="shared" si="2"/>
        <v>0</v>
      </c>
      <c r="H55" s="604"/>
      <c r="I55" s="578"/>
      <c r="J55" s="605"/>
    </row>
    <row r="56" spans="2:10" x14ac:dyDescent="0.25">
      <c r="B56" s="337">
        <f>'IV. Data Inputs-PE'!B186</f>
        <v>0</v>
      </c>
      <c r="C56" s="337">
        <f>'IV. Data Inputs-PE'!C186</f>
        <v>0</v>
      </c>
      <c r="D56" s="337">
        <f>'IV. Data Inputs-PE'!D186</f>
        <v>0</v>
      </c>
      <c r="E56" s="337">
        <f>'IV. Data Inputs-PE'!E186</f>
        <v>0</v>
      </c>
      <c r="F56" s="425">
        <f t="shared" si="2"/>
        <v>0</v>
      </c>
      <c r="H56" s="604"/>
      <c r="I56" s="578"/>
      <c r="J56" s="605"/>
    </row>
    <row r="57" spans="2:10" x14ac:dyDescent="0.25">
      <c r="B57" s="337">
        <f>'IV. Data Inputs-PE'!B187</f>
        <v>0</v>
      </c>
      <c r="C57" s="337">
        <f>'IV. Data Inputs-PE'!C187</f>
        <v>0</v>
      </c>
      <c r="D57" s="337">
        <f>'IV. Data Inputs-PE'!D187</f>
        <v>0</v>
      </c>
      <c r="E57" s="337">
        <f>'IV. Data Inputs-PE'!E187</f>
        <v>0</v>
      </c>
      <c r="F57" s="425">
        <f t="shared" si="2"/>
        <v>0</v>
      </c>
      <c r="H57" s="604"/>
      <c r="I57" s="578"/>
      <c r="J57" s="605"/>
    </row>
    <row r="58" spans="2:10" x14ac:dyDescent="0.25">
      <c r="B58" s="337">
        <f>'IV. Data Inputs-PE'!B188</f>
        <v>0</v>
      </c>
      <c r="C58" s="337">
        <f>'IV. Data Inputs-PE'!C188</f>
        <v>0</v>
      </c>
      <c r="D58" s="337">
        <f>'IV. Data Inputs-PE'!D188</f>
        <v>0</v>
      </c>
      <c r="E58" s="337">
        <f>'IV. Data Inputs-PE'!E188</f>
        <v>0</v>
      </c>
      <c r="F58" s="425">
        <f t="shared" si="2"/>
        <v>0</v>
      </c>
      <c r="H58" s="604"/>
      <c r="I58" s="578"/>
      <c r="J58" s="605"/>
    </row>
    <row r="59" spans="2:10" x14ac:dyDescent="0.25">
      <c r="B59" s="337">
        <f>'IV. Data Inputs-PE'!B189</f>
        <v>0</v>
      </c>
      <c r="C59" s="337">
        <f>'IV. Data Inputs-PE'!C189</f>
        <v>0</v>
      </c>
      <c r="D59" s="337">
        <f>'IV. Data Inputs-PE'!D189</f>
        <v>0</v>
      </c>
      <c r="E59" s="337">
        <f>'IV. Data Inputs-PE'!E189</f>
        <v>0</v>
      </c>
      <c r="F59" s="425">
        <f t="shared" si="2"/>
        <v>0</v>
      </c>
      <c r="H59" s="604"/>
      <c r="I59" s="578"/>
      <c r="J59" s="605"/>
    </row>
    <row r="60" spans="2:10" x14ac:dyDescent="0.25">
      <c r="B60" s="431">
        <f>'IV. Data Inputs-PE'!B190</f>
        <v>0</v>
      </c>
      <c r="C60" s="431">
        <f>'IV. Data Inputs-PE'!C190</f>
        <v>0</v>
      </c>
      <c r="D60" s="431">
        <f>'IV. Data Inputs-PE'!D190</f>
        <v>0</v>
      </c>
      <c r="E60" s="431">
        <f>'IV. Data Inputs-PE'!E190</f>
        <v>0</v>
      </c>
      <c r="F60" s="425">
        <f t="shared" si="2"/>
        <v>0</v>
      </c>
      <c r="H60" s="604"/>
      <c r="I60" s="578"/>
      <c r="J60" s="605"/>
    </row>
    <row r="61" spans="2:10" ht="15" x14ac:dyDescent="0.4">
      <c r="B61" s="415" t="s">
        <v>523</v>
      </c>
      <c r="C61" s="428"/>
      <c r="D61" s="428"/>
      <c r="E61" s="429"/>
      <c r="F61" s="427">
        <f>SUM(F52:F60)</f>
        <v>0</v>
      </c>
      <c r="H61" s="604"/>
      <c r="I61" s="578"/>
      <c r="J61" s="605"/>
    </row>
    <row r="62" spans="2:10" x14ac:dyDescent="0.25">
      <c r="H62" s="604"/>
      <c r="I62" s="578"/>
      <c r="J62" s="605"/>
    </row>
    <row r="63" spans="2:10" ht="14" x14ac:dyDescent="0.4">
      <c r="B63" s="579" t="s">
        <v>524</v>
      </c>
      <c r="C63" s="562"/>
      <c r="D63" s="562"/>
      <c r="E63" s="562"/>
      <c r="H63" s="604"/>
      <c r="I63" s="578"/>
      <c r="J63" s="605"/>
    </row>
    <row r="64" spans="2:10" ht="15" x14ac:dyDescent="0.4">
      <c r="B64" s="128" t="s">
        <v>299</v>
      </c>
      <c r="C64" s="128" t="s">
        <v>512</v>
      </c>
      <c r="D64" s="128" t="s">
        <v>300</v>
      </c>
      <c r="E64" s="128" t="s">
        <v>301</v>
      </c>
      <c r="F64" s="370" t="s">
        <v>522</v>
      </c>
      <c r="H64" s="604"/>
      <c r="I64" s="578"/>
      <c r="J64" s="605"/>
    </row>
    <row r="65" spans="2:13" x14ac:dyDescent="0.25">
      <c r="B65" s="337">
        <f>'IV. Data Inputs-PE'!B195</f>
        <v>0</v>
      </c>
      <c r="C65" s="337">
        <f>'IV. Data Inputs-PE'!C195</f>
        <v>0</v>
      </c>
      <c r="D65" s="337">
        <f>'IV. Data Inputs-PE'!D195</f>
        <v>0</v>
      </c>
      <c r="E65" s="337">
        <f>'IV. Data Inputs-PE'!E195</f>
        <v>0</v>
      </c>
      <c r="F65" s="425">
        <f t="shared" ref="F65:F73" si="3">E65*D65*0.001</f>
        <v>0</v>
      </c>
      <c r="H65" s="604"/>
      <c r="I65" s="578"/>
      <c r="J65" s="605"/>
    </row>
    <row r="66" spans="2:13" x14ac:dyDescent="0.25">
      <c r="B66" s="337">
        <f>'IV. Data Inputs-PE'!B196</f>
        <v>0</v>
      </c>
      <c r="C66" s="337">
        <f>'IV. Data Inputs-PE'!C196</f>
        <v>0</v>
      </c>
      <c r="D66" s="337">
        <f>'IV. Data Inputs-PE'!D196</f>
        <v>0</v>
      </c>
      <c r="E66" s="337">
        <f>'IV. Data Inputs-PE'!E196</f>
        <v>0</v>
      </c>
      <c r="F66" s="425">
        <f t="shared" si="3"/>
        <v>0</v>
      </c>
      <c r="H66" s="604"/>
      <c r="I66" s="578"/>
      <c r="J66" s="605"/>
    </row>
    <row r="67" spans="2:13" x14ac:dyDescent="0.25">
      <c r="B67" s="337">
        <f>'IV. Data Inputs-PE'!B197</f>
        <v>0</v>
      </c>
      <c r="C67" s="337">
        <f>'IV. Data Inputs-PE'!C197</f>
        <v>0</v>
      </c>
      <c r="D67" s="337">
        <f>'IV. Data Inputs-PE'!D197</f>
        <v>0</v>
      </c>
      <c r="E67" s="337">
        <f>'IV. Data Inputs-PE'!E197</f>
        <v>0</v>
      </c>
      <c r="F67" s="425">
        <f t="shared" si="3"/>
        <v>0</v>
      </c>
      <c r="H67" s="604"/>
      <c r="I67" s="578"/>
      <c r="J67" s="605"/>
    </row>
    <row r="68" spans="2:13" x14ac:dyDescent="0.25">
      <c r="B68" s="337">
        <f>'IV. Data Inputs-PE'!B198</f>
        <v>0</v>
      </c>
      <c r="C68" s="337">
        <f>'IV. Data Inputs-PE'!C198</f>
        <v>0</v>
      </c>
      <c r="D68" s="337">
        <f>'IV. Data Inputs-PE'!D198</f>
        <v>0</v>
      </c>
      <c r="E68" s="337">
        <f>'IV. Data Inputs-PE'!E198</f>
        <v>0</v>
      </c>
      <c r="F68" s="425">
        <f t="shared" si="3"/>
        <v>0</v>
      </c>
      <c r="H68" s="604"/>
      <c r="I68" s="578"/>
      <c r="J68" s="605"/>
    </row>
    <row r="69" spans="2:13" x14ac:dyDescent="0.25">
      <c r="B69" s="337">
        <f>'IV. Data Inputs-PE'!B200</f>
        <v>0</v>
      </c>
      <c r="C69" s="337">
        <f>'IV. Data Inputs-PE'!C200</f>
        <v>0</v>
      </c>
      <c r="D69" s="337">
        <f>'IV. Data Inputs-PE'!D200</f>
        <v>0</v>
      </c>
      <c r="E69" s="337">
        <f>'IV. Data Inputs-PE'!E200</f>
        <v>0</v>
      </c>
      <c r="F69" s="425">
        <f t="shared" si="3"/>
        <v>0</v>
      </c>
      <c r="H69" s="604"/>
      <c r="I69" s="578"/>
      <c r="J69" s="605"/>
    </row>
    <row r="70" spans="2:13" x14ac:dyDescent="0.25">
      <c r="B70" s="337">
        <f>'IV. Data Inputs-PE'!B201</f>
        <v>0</v>
      </c>
      <c r="C70" s="337">
        <f>'IV. Data Inputs-PE'!C201</f>
        <v>0</v>
      </c>
      <c r="D70" s="337">
        <f>'IV. Data Inputs-PE'!D201</f>
        <v>0</v>
      </c>
      <c r="E70" s="337">
        <f>'IV. Data Inputs-PE'!E201</f>
        <v>0</v>
      </c>
      <c r="F70" s="425">
        <f t="shared" si="3"/>
        <v>0</v>
      </c>
      <c r="H70" s="604"/>
      <c r="I70" s="578"/>
      <c r="J70" s="605"/>
    </row>
    <row r="71" spans="2:13" x14ac:dyDescent="0.25">
      <c r="B71" s="337">
        <f>'IV. Data Inputs-PE'!B202</f>
        <v>0</v>
      </c>
      <c r="C71" s="337">
        <f>'IV. Data Inputs-PE'!C202</f>
        <v>0</v>
      </c>
      <c r="D71" s="337">
        <f>'IV. Data Inputs-PE'!D202</f>
        <v>0</v>
      </c>
      <c r="E71" s="337">
        <f>'IV. Data Inputs-PE'!E202</f>
        <v>0</v>
      </c>
      <c r="F71" s="425">
        <f t="shared" si="3"/>
        <v>0</v>
      </c>
      <c r="H71" s="606"/>
      <c r="I71" s="607"/>
      <c r="J71" s="608"/>
    </row>
    <row r="72" spans="2:13" x14ac:dyDescent="0.25">
      <c r="B72" s="337">
        <f>'IV. Data Inputs-PE'!B203</f>
        <v>0</v>
      </c>
      <c r="C72" s="337">
        <f>'IV. Data Inputs-PE'!C203</f>
        <v>0</v>
      </c>
      <c r="D72" s="337">
        <f>'IV. Data Inputs-PE'!D203</f>
        <v>0</v>
      </c>
      <c r="E72" s="337">
        <f>'IV. Data Inputs-PE'!E203</f>
        <v>0</v>
      </c>
      <c r="F72" s="425">
        <f t="shared" si="3"/>
        <v>0</v>
      </c>
    </row>
    <row r="73" spans="2:13" x14ac:dyDescent="0.25">
      <c r="B73" s="431">
        <f>'IV. Data Inputs-PE'!B204</f>
        <v>0</v>
      </c>
      <c r="C73" s="431">
        <f>'IV. Data Inputs-PE'!C204</f>
        <v>0</v>
      </c>
      <c r="D73" s="431">
        <f>'IV. Data Inputs-PE'!D204</f>
        <v>0</v>
      </c>
      <c r="E73" s="431">
        <f>'IV. Data Inputs-PE'!E204</f>
        <v>0</v>
      </c>
      <c r="F73" s="425">
        <f t="shared" si="3"/>
        <v>0</v>
      </c>
    </row>
    <row r="74" spans="2:13" ht="15" x14ac:dyDescent="0.4">
      <c r="B74" s="415" t="s">
        <v>525</v>
      </c>
      <c r="C74" s="428"/>
      <c r="D74" s="428"/>
      <c r="E74" s="429"/>
      <c r="F74" s="427">
        <f>SUM(F65:F73)</f>
        <v>0</v>
      </c>
    </row>
    <row r="75" spans="2:13" ht="13" x14ac:dyDescent="0.3">
      <c r="B75" s="3"/>
      <c r="F75" s="113"/>
    </row>
    <row r="76" spans="2:13" ht="15" x14ac:dyDescent="0.4">
      <c r="B76" s="580" t="s">
        <v>526</v>
      </c>
      <c r="C76" s="580"/>
      <c r="D76" s="580"/>
      <c r="E76" s="580"/>
      <c r="F76" s="113"/>
      <c r="G76" s="46"/>
      <c r="H76" s="46"/>
      <c r="I76" s="46"/>
      <c r="J76" s="46"/>
      <c r="K76" s="46"/>
      <c r="L76" s="46"/>
      <c r="M76" s="46"/>
    </row>
    <row r="77" spans="2:13" ht="15" x14ac:dyDescent="0.4">
      <c r="B77" s="128" t="s">
        <v>305</v>
      </c>
      <c r="C77" s="128" t="s">
        <v>306</v>
      </c>
      <c r="D77" s="128" t="s">
        <v>307</v>
      </c>
      <c r="E77" s="128" t="s">
        <v>308</v>
      </c>
      <c r="F77" s="370" t="s">
        <v>522</v>
      </c>
      <c r="G77" s="46"/>
      <c r="H77" s="46"/>
      <c r="I77" s="46"/>
      <c r="J77" s="46"/>
      <c r="K77" s="46"/>
      <c r="L77" s="46"/>
      <c r="M77" s="46"/>
    </row>
    <row r="78" spans="2:13" x14ac:dyDescent="0.25">
      <c r="B78" s="337">
        <f>'IV. Data Inputs-PE'!B209</f>
        <v>0</v>
      </c>
      <c r="C78" s="337">
        <f>'IV. Data Inputs-PE'!C209</f>
        <v>0</v>
      </c>
      <c r="D78" s="432">
        <f>'IV. Data Inputs-PE'!D209</f>
        <v>0</v>
      </c>
      <c r="E78" s="432">
        <f>'IV. Data Inputs-PE'!E209</f>
        <v>0</v>
      </c>
      <c r="F78" s="425">
        <f>E78*D78*0.00045359237</f>
        <v>0</v>
      </c>
      <c r="G78" s="46"/>
      <c r="H78" s="46"/>
      <c r="I78" s="46"/>
      <c r="J78" s="46"/>
      <c r="K78" s="46"/>
      <c r="L78" s="46"/>
      <c r="M78" s="46"/>
    </row>
    <row r="79" spans="2:13" ht="13" x14ac:dyDescent="0.25">
      <c r="B79" s="46"/>
      <c r="C79" s="46"/>
      <c r="D79" s="46"/>
      <c r="E79" s="46"/>
      <c r="F79" s="370">
        <f>F78</f>
        <v>0</v>
      </c>
      <c r="G79" s="46"/>
      <c r="H79" s="46"/>
      <c r="I79" s="46"/>
      <c r="J79" s="46"/>
      <c r="K79" s="46"/>
      <c r="L79" s="46"/>
      <c r="M79" s="46"/>
    </row>
    <row r="80" spans="2:13" ht="13" x14ac:dyDescent="0.3">
      <c r="B80" s="3"/>
    </row>
    <row r="81" spans="2:7" ht="13" x14ac:dyDescent="0.3">
      <c r="B81" s="3"/>
      <c r="C81" s="430"/>
    </row>
    <row r="82" spans="2:7" ht="15" x14ac:dyDescent="0.4">
      <c r="B82" s="415" t="s">
        <v>527</v>
      </c>
      <c r="C82" s="428"/>
      <c r="D82" s="428"/>
      <c r="E82" s="429"/>
      <c r="F82" s="426">
        <f>F61+F74+F79</f>
        <v>0</v>
      </c>
      <c r="G82" s="3"/>
    </row>
  </sheetData>
  <sheetProtection password="CCBF" sheet="1" objects="1" scenarios="1"/>
  <customSheetViews>
    <customSheetView guid="{A6F5A5FB-2E6E-47D3-842C-0D3D06DB341A}" scale="70">
      <selection activeCell="B2" sqref="B2"/>
      <pageMargins left="0" right="0" top="0" bottom="0" header="0" footer="0"/>
      <printOptions horizontalCentered="1" verticalCentered="1"/>
      <pageSetup scale="47" orientation="landscape" r:id="rId1"/>
      <headerFooter alignWithMargins="0"/>
    </customSheetView>
  </customSheetViews>
  <mergeCells count="8">
    <mergeCell ref="B76:E76"/>
    <mergeCell ref="H16:J36"/>
    <mergeCell ref="H51:J71"/>
    <mergeCell ref="B15:E15"/>
    <mergeCell ref="B28:E28"/>
    <mergeCell ref="B50:E50"/>
    <mergeCell ref="B63:E63"/>
    <mergeCell ref="B41:E41"/>
  </mergeCells>
  <phoneticPr fontId="2" type="noConversion"/>
  <printOptions horizontalCentered="1" verticalCentered="1"/>
  <pageMargins left="0.25" right="0.25" top="0.25" bottom="0.25" header="0.25" footer="0.25"/>
  <pageSetup scale="47" orientation="landscape"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theme="9"/>
  </sheetPr>
  <dimension ref="B1:X583"/>
  <sheetViews>
    <sheetView showGridLines="0" tabSelected="1" topLeftCell="A39" zoomScale="70" zoomScaleNormal="70" workbookViewId="0">
      <selection activeCell="C114" sqref="C114"/>
    </sheetView>
  </sheetViews>
  <sheetFormatPr defaultColWidth="9.1796875" defaultRowHeight="12.5" x14ac:dyDescent="0.25"/>
  <cols>
    <col min="1" max="1" width="4" style="13" customWidth="1"/>
    <col min="2" max="2" width="33.1796875" style="13" customWidth="1"/>
    <col min="3" max="3" width="29.7265625" style="13" bestFit="1" customWidth="1"/>
    <col min="4" max="4" width="25.7265625" style="13" bestFit="1" customWidth="1"/>
    <col min="5" max="5" width="29" style="13" customWidth="1"/>
    <col min="6" max="6" width="24.54296875" style="13" bestFit="1" customWidth="1"/>
    <col min="7" max="7" width="32.453125" style="13" customWidth="1"/>
    <col min="8" max="8" width="31" style="13" customWidth="1"/>
    <col min="9" max="9" width="14.54296875" style="13" customWidth="1"/>
    <col min="10" max="21" width="9.1796875" style="13"/>
    <col min="22" max="22" width="92.453125" style="13" customWidth="1"/>
    <col min="23" max="16384" width="9.1796875" style="13"/>
  </cols>
  <sheetData>
    <row r="1" spans="2:7" ht="13" x14ac:dyDescent="0.3">
      <c r="B1" s="258" t="s">
        <v>0</v>
      </c>
    </row>
    <row r="2" spans="2:7" ht="13" x14ac:dyDescent="0.3">
      <c r="B2" s="258" t="s">
        <v>116</v>
      </c>
    </row>
    <row r="4" spans="2:7" ht="18" x14ac:dyDescent="0.4">
      <c r="B4" s="15" t="s">
        <v>528</v>
      </c>
    </row>
    <row r="5" spans="2:7" ht="13" x14ac:dyDescent="0.3">
      <c r="B5" s="3"/>
    </row>
    <row r="6" spans="2:7" ht="15.5" x14ac:dyDescent="0.35">
      <c r="B6" s="202" t="s">
        <v>529</v>
      </c>
    </row>
    <row r="7" spans="2:7" ht="13" x14ac:dyDescent="0.25">
      <c r="B7" s="334" t="s">
        <v>354</v>
      </c>
      <c r="C7" s="632" t="s">
        <v>530</v>
      </c>
      <c r="D7" s="632"/>
      <c r="E7" s="632"/>
      <c r="F7" s="632"/>
      <c r="G7" s="632"/>
    </row>
    <row r="8" spans="2:7" x14ac:dyDescent="0.25">
      <c r="B8" s="393" t="s">
        <v>531</v>
      </c>
      <c r="C8" s="630" t="s">
        <v>532</v>
      </c>
      <c r="D8" s="630"/>
      <c r="E8" s="630"/>
      <c r="F8" s="630"/>
      <c r="G8" s="630"/>
    </row>
    <row r="9" spans="2:7" x14ac:dyDescent="0.25">
      <c r="B9" s="393" t="s">
        <v>253</v>
      </c>
      <c r="C9" s="630" t="s">
        <v>533</v>
      </c>
      <c r="D9" s="630"/>
      <c r="E9" s="630"/>
      <c r="F9" s="630"/>
      <c r="G9" s="630"/>
    </row>
    <row r="10" spans="2:7" ht="26.25" customHeight="1" x14ac:dyDescent="0.25">
      <c r="B10" s="393" t="s">
        <v>254</v>
      </c>
      <c r="C10" s="644" t="s">
        <v>534</v>
      </c>
      <c r="D10" s="645"/>
      <c r="E10" s="645"/>
      <c r="F10" s="645"/>
      <c r="G10" s="646"/>
    </row>
    <row r="11" spans="2:7" x14ac:dyDescent="0.25">
      <c r="B11" s="393" t="s">
        <v>535</v>
      </c>
      <c r="C11" s="630" t="s">
        <v>536</v>
      </c>
      <c r="D11" s="630"/>
      <c r="E11" s="630"/>
      <c r="F11" s="630"/>
      <c r="G11" s="630"/>
    </row>
    <row r="12" spans="2:7" ht="26.25" customHeight="1" x14ac:dyDescent="0.25">
      <c r="B12" s="393" t="s">
        <v>537</v>
      </c>
      <c r="C12" s="630" t="s">
        <v>538</v>
      </c>
      <c r="D12" s="630"/>
      <c r="E12" s="630"/>
      <c r="F12" s="630"/>
      <c r="G12" s="630"/>
    </row>
    <row r="13" spans="2:7" ht="53.25" customHeight="1" x14ac:dyDescent="0.25">
      <c r="B13" s="393" t="s">
        <v>365</v>
      </c>
      <c r="C13" s="630" t="s">
        <v>539</v>
      </c>
      <c r="D13" s="630"/>
      <c r="E13" s="630"/>
      <c r="F13" s="630"/>
      <c r="G13" s="630"/>
    </row>
    <row r="14" spans="2:7" x14ac:dyDescent="0.25">
      <c r="B14" s="393" t="s">
        <v>540</v>
      </c>
      <c r="C14" s="630" t="s">
        <v>541</v>
      </c>
      <c r="D14" s="630"/>
      <c r="E14" s="630"/>
      <c r="F14" s="630"/>
      <c r="G14" s="630"/>
    </row>
    <row r="15" spans="2:7" ht="26.25" customHeight="1" x14ac:dyDescent="0.25">
      <c r="B15" s="393" t="s">
        <v>542</v>
      </c>
      <c r="C15" s="630" t="s">
        <v>543</v>
      </c>
      <c r="D15" s="630"/>
      <c r="E15" s="630"/>
      <c r="F15" s="630"/>
      <c r="G15" s="630"/>
    </row>
    <row r="16" spans="2:7" x14ac:dyDescent="0.25">
      <c r="B16" s="393" t="s">
        <v>544</v>
      </c>
      <c r="C16" s="630" t="s">
        <v>545</v>
      </c>
      <c r="D16" s="630"/>
      <c r="E16" s="630"/>
      <c r="F16" s="630"/>
      <c r="G16" s="630"/>
    </row>
    <row r="17" spans="2:9" ht="26.25" customHeight="1" x14ac:dyDescent="0.25">
      <c r="B17" s="393" t="s">
        <v>546</v>
      </c>
      <c r="C17" s="630" t="s">
        <v>547</v>
      </c>
      <c r="D17" s="630"/>
      <c r="E17" s="630"/>
      <c r="F17" s="630"/>
      <c r="G17" s="630"/>
    </row>
    <row r="18" spans="2:9" x14ac:dyDescent="0.25">
      <c r="B18" s="393" t="s">
        <v>548</v>
      </c>
      <c r="C18" s="630" t="s">
        <v>549</v>
      </c>
      <c r="D18" s="630"/>
      <c r="E18" s="630"/>
      <c r="F18" s="630"/>
      <c r="G18" s="630"/>
    </row>
    <row r="19" spans="2:9" x14ac:dyDescent="0.25">
      <c r="B19" s="393" t="s">
        <v>550</v>
      </c>
      <c r="C19" s="630" t="s">
        <v>551</v>
      </c>
      <c r="D19" s="630"/>
      <c r="E19" s="630"/>
      <c r="F19" s="630"/>
      <c r="G19" s="630"/>
    </row>
    <row r="20" spans="2:9" x14ac:dyDescent="0.25">
      <c r="B20" s="393" t="s">
        <v>552</v>
      </c>
      <c r="C20" s="630" t="s">
        <v>553</v>
      </c>
      <c r="D20" s="630"/>
      <c r="E20" s="630"/>
      <c r="F20" s="630"/>
      <c r="G20" s="630"/>
    </row>
    <row r="21" spans="2:9" x14ac:dyDescent="0.25">
      <c r="B21" s="393" t="s">
        <v>554</v>
      </c>
      <c r="C21" s="630" t="s">
        <v>555</v>
      </c>
      <c r="D21" s="630"/>
      <c r="E21" s="630"/>
      <c r="F21" s="630"/>
      <c r="G21" s="630"/>
    </row>
    <row r="22" spans="2:9" ht="27" customHeight="1" x14ac:dyDescent="0.25">
      <c r="B22" s="393" t="s">
        <v>262</v>
      </c>
      <c r="C22" s="630" t="s">
        <v>556</v>
      </c>
      <c r="D22" s="630"/>
      <c r="E22" s="630"/>
      <c r="F22" s="630"/>
      <c r="G22" s="630"/>
    </row>
    <row r="23" spans="2:9" x14ac:dyDescent="0.25">
      <c r="B23" s="563" t="s">
        <v>557</v>
      </c>
      <c r="C23" s="563"/>
      <c r="D23" s="563"/>
      <c r="E23" s="563"/>
    </row>
    <row r="24" spans="2:9" x14ac:dyDescent="0.25">
      <c r="B24" s="633" t="s">
        <v>558</v>
      </c>
      <c r="C24" s="563"/>
      <c r="D24" s="563"/>
      <c r="E24" s="563"/>
    </row>
    <row r="25" spans="2:9" ht="13" x14ac:dyDescent="0.3">
      <c r="B25" s="3"/>
    </row>
    <row r="26" spans="2:9" ht="15.5" x14ac:dyDescent="0.35">
      <c r="B26" s="202" t="s">
        <v>559</v>
      </c>
    </row>
    <row r="27" spans="2:9" ht="14.25" customHeight="1" x14ac:dyDescent="0.25">
      <c r="B27" s="632" t="s">
        <v>560</v>
      </c>
      <c r="C27" s="408" t="s">
        <v>561</v>
      </c>
      <c r="D27" s="408" t="s">
        <v>562</v>
      </c>
      <c r="E27" s="650" t="s">
        <v>563</v>
      </c>
      <c r="F27" s="650"/>
      <c r="G27" s="650"/>
      <c r="H27" s="650"/>
      <c r="I27" s="650"/>
    </row>
    <row r="28" spans="2:9" ht="16" x14ac:dyDescent="0.25">
      <c r="B28" s="632"/>
      <c r="C28" s="408" t="s">
        <v>564</v>
      </c>
      <c r="D28" s="408" t="s">
        <v>565</v>
      </c>
      <c r="E28" s="408" t="s">
        <v>566</v>
      </c>
      <c r="F28" s="408" t="s">
        <v>567</v>
      </c>
      <c r="G28" s="408" t="s">
        <v>568</v>
      </c>
      <c r="H28" s="408" t="s">
        <v>569</v>
      </c>
      <c r="I28" s="408" t="s">
        <v>865</v>
      </c>
    </row>
    <row r="29" spans="2:9" s="47" customFormat="1" x14ac:dyDescent="0.25">
      <c r="B29" s="293" t="s">
        <v>209</v>
      </c>
      <c r="C29" s="294" t="s">
        <v>570</v>
      </c>
      <c r="D29" s="294">
        <v>0.24</v>
      </c>
      <c r="E29" s="264">
        <v>604</v>
      </c>
      <c r="F29" s="264">
        <v>680</v>
      </c>
      <c r="G29" s="264">
        <v>680</v>
      </c>
      <c r="H29" s="294">
        <v>681</v>
      </c>
      <c r="I29" s="333">
        <v>681</v>
      </c>
    </row>
    <row r="30" spans="2:9" s="47" customFormat="1" ht="14.5" x14ac:dyDescent="0.25">
      <c r="B30" s="293" t="s">
        <v>212</v>
      </c>
      <c r="C30" s="294" t="s">
        <v>571</v>
      </c>
      <c r="D30" s="294">
        <v>0.24</v>
      </c>
      <c r="E30" s="264">
        <v>684</v>
      </c>
      <c r="F30" s="264">
        <v>684</v>
      </c>
      <c r="G30" s="264">
        <v>684</v>
      </c>
      <c r="H30" s="294">
        <v>684</v>
      </c>
      <c r="I30" s="333">
        <v>684</v>
      </c>
    </row>
    <row r="31" spans="2:9" s="47" customFormat="1" x14ac:dyDescent="0.25">
      <c r="B31" s="293" t="s">
        <v>211</v>
      </c>
      <c r="C31" s="294" t="s">
        <v>570</v>
      </c>
      <c r="D31" s="294">
        <v>0.17</v>
      </c>
      <c r="E31" s="264">
        <v>476</v>
      </c>
      <c r="F31" s="264">
        <v>407</v>
      </c>
      <c r="G31" s="264">
        <v>407</v>
      </c>
      <c r="H31" s="294">
        <v>446</v>
      </c>
      <c r="I31" s="333">
        <v>447</v>
      </c>
    </row>
    <row r="32" spans="2:9" s="47" customFormat="1" ht="14.5" x14ac:dyDescent="0.25">
      <c r="B32" s="293" t="s">
        <v>215</v>
      </c>
      <c r="C32" s="294" t="s">
        <v>572</v>
      </c>
      <c r="D32" s="294">
        <v>0.17</v>
      </c>
      <c r="E32" s="264">
        <v>750</v>
      </c>
      <c r="F32" s="264">
        <v>750</v>
      </c>
      <c r="G32" s="264">
        <v>874</v>
      </c>
      <c r="H32" s="294">
        <v>918</v>
      </c>
      <c r="I32" s="333">
        <v>917</v>
      </c>
    </row>
    <row r="33" spans="2:9" s="47" customFormat="1" ht="14.5" x14ac:dyDescent="0.25">
      <c r="B33" s="293" t="s">
        <v>217</v>
      </c>
      <c r="C33" s="294" t="s">
        <v>573</v>
      </c>
      <c r="D33" s="294">
        <v>0.17</v>
      </c>
      <c r="E33" s="264">
        <v>118</v>
      </c>
      <c r="F33" s="264">
        <v>118</v>
      </c>
      <c r="G33" s="264">
        <v>118</v>
      </c>
      <c r="H33" s="294">
        <v>123</v>
      </c>
      <c r="I33" s="333">
        <v>123</v>
      </c>
    </row>
    <row r="34" spans="2:9" s="47" customFormat="1" x14ac:dyDescent="0.25">
      <c r="B34" s="293" t="s">
        <v>219</v>
      </c>
      <c r="C34" s="294" t="s">
        <v>570</v>
      </c>
      <c r="D34" s="294">
        <v>0.17</v>
      </c>
      <c r="E34" s="264">
        <v>420</v>
      </c>
      <c r="F34" s="264">
        <f>(296+406)/2</f>
        <v>351</v>
      </c>
      <c r="G34" s="264">
        <v>351.5</v>
      </c>
      <c r="H34" s="294">
        <v>324</v>
      </c>
      <c r="I34" s="333">
        <v>317</v>
      </c>
    </row>
    <row r="35" spans="2:9" s="47" customFormat="1" x14ac:dyDescent="0.25">
      <c r="B35" s="293" t="s">
        <v>221</v>
      </c>
      <c r="C35" s="294" t="s">
        <v>570</v>
      </c>
      <c r="D35" s="294">
        <v>0.17</v>
      </c>
      <c r="E35" s="264">
        <v>533</v>
      </c>
      <c r="F35" s="264">
        <f>(554+611)/2</f>
        <v>582.5</v>
      </c>
      <c r="G35" s="264">
        <f>(554+611)/2</f>
        <v>582.5</v>
      </c>
      <c r="H35" s="294">
        <v>612</v>
      </c>
      <c r="I35" s="333">
        <v>612</v>
      </c>
    </row>
    <row r="36" spans="2:9" s="47" customFormat="1" ht="14.5" x14ac:dyDescent="0.25">
      <c r="B36" s="293" t="s">
        <v>223</v>
      </c>
      <c r="C36" s="294" t="s">
        <v>574</v>
      </c>
      <c r="D36" s="294">
        <v>0.48</v>
      </c>
      <c r="E36" s="264">
        <v>12.5</v>
      </c>
      <c r="F36" s="264">
        <v>12.5</v>
      </c>
      <c r="G36" s="264">
        <v>12.5</v>
      </c>
      <c r="H36" s="294">
        <v>12.5</v>
      </c>
      <c r="I36" s="333">
        <v>12.5</v>
      </c>
    </row>
    <row r="37" spans="2:9" s="47" customFormat="1" ht="14.5" x14ac:dyDescent="0.25">
      <c r="B37" s="293" t="s">
        <v>225</v>
      </c>
      <c r="C37" s="294" t="s">
        <v>575</v>
      </c>
      <c r="D37" s="294">
        <v>0.48</v>
      </c>
      <c r="E37" s="264">
        <v>70</v>
      </c>
      <c r="F37" s="264">
        <v>70</v>
      </c>
      <c r="G37" s="264">
        <v>70</v>
      </c>
      <c r="H37" s="294">
        <v>70</v>
      </c>
      <c r="I37" s="333">
        <v>70</v>
      </c>
    </row>
    <row r="38" spans="2:9" s="47" customFormat="1" ht="14.5" x14ac:dyDescent="0.25">
      <c r="B38" s="293" t="s">
        <v>227</v>
      </c>
      <c r="C38" s="294" t="s">
        <v>576</v>
      </c>
      <c r="D38" s="294">
        <v>0.35</v>
      </c>
      <c r="E38" s="264">
        <v>198</v>
      </c>
      <c r="F38" s="264">
        <v>198</v>
      </c>
      <c r="G38" s="264">
        <v>198</v>
      </c>
      <c r="H38" s="294">
        <v>198</v>
      </c>
      <c r="I38" s="333">
        <v>198</v>
      </c>
    </row>
    <row r="39" spans="2:9" x14ac:dyDescent="0.25">
      <c r="B39" s="259" t="s">
        <v>577</v>
      </c>
      <c r="E39" s="51"/>
    </row>
    <row r="40" spans="2:9" ht="12.75" customHeight="1" x14ac:dyDescent="0.25">
      <c r="B40" s="635" t="s">
        <v>578</v>
      </c>
      <c r="C40" s="635"/>
      <c r="D40" s="635"/>
      <c r="E40" s="635"/>
    </row>
    <row r="41" spans="2:9" ht="14.25" customHeight="1" x14ac:dyDescent="0.25">
      <c r="B41" s="635" t="s">
        <v>579</v>
      </c>
      <c r="C41" s="635"/>
      <c r="D41" s="635"/>
      <c r="E41" s="635"/>
    </row>
    <row r="42" spans="2:9" ht="18.5" x14ac:dyDescent="0.35">
      <c r="B42" s="647" t="s">
        <v>580</v>
      </c>
      <c r="C42" s="648"/>
      <c r="D42" s="648"/>
      <c r="E42" s="648"/>
    </row>
    <row r="43" spans="2:9" ht="18.5" x14ac:dyDescent="0.35">
      <c r="B43" s="649" t="s">
        <v>866</v>
      </c>
      <c r="C43" s="648"/>
      <c r="D43" s="648"/>
      <c r="E43" s="648"/>
    </row>
    <row r="45" spans="2:9" ht="18" customHeight="1" x14ac:dyDescent="0.35">
      <c r="B45" s="202" t="s">
        <v>581</v>
      </c>
    </row>
    <row r="46" spans="2:9" ht="18" customHeight="1" x14ac:dyDescent="0.3">
      <c r="B46" s="3" t="s">
        <v>867</v>
      </c>
      <c r="C46" s="36"/>
      <c r="D46" s="36"/>
      <c r="E46" s="36"/>
    </row>
    <row r="47" spans="2:9" ht="18" customHeight="1" x14ac:dyDescent="0.25">
      <c r="B47" s="13" t="s">
        <v>868</v>
      </c>
      <c r="C47" s="36"/>
      <c r="D47" s="36"/>
      <c r="E47" s="36"/>
    </row>
    <row r="48" spans="2:9" ht="18" customHeight="1" x14ac:dyDescent="0.3">
      <c r="B48" s="545" t="s">
        <v>185</v>
      </c>
      <c r="C48" s="545" t="s">
        <v>584</v>
      </c>
      <c r="D48" s="545" t="s">
        <v>585</v>
      </c>
      <c r="E48" s="545" t="s">
        <v>586</v>
      </c>
      <c r="F48" s="545" t="s">
        <v>587</v>
      </c>
    </row>
    <row r="49" spans="2:6" ht="18" customHeight="1" x14ac:dyDescent="0.25">
      <c r="B49" s="293" t="s">
        <v>588</v>
      </c>
      <c r="C49" s="651">
        <v>7.8489137923001948</v>
      </c>
      <c r="D49" s="651">
        <v>7.6524650847667663</v>
      </c>
      <c r="E49" s="651">
        <v>9.4285836554977553</v>
      </c>
      <c r="F49" s="651">
        <v>7.4541918254874577</v>
      </c>
    </row>
    <row r="50" spans="2:6" ht="18" customHeight="1" x14ac:dyDescent="0.25">
      <c r="B50" s="293" t="s">
        <v>589</v>
      </c>
      <c r="C50" s="651">
        <v>4.4212999783382445</v>
      </c>
      <c r="D50" s="651">
        <v>7.6524650847667663</v>
      </c>
      <c r="E50" s="651">
        <v>10.908251893404337</v>
      </c>
      <c r="F50" s="651">
        <v>8.4704690293226843</v>
      </c>
    </row>
    <row r="51" spans="2:6" ht="18" customHeight="1" x14ac:dyDescent="0.25">
      <c r="B51" s="293" t="s">
        <v>590</v>
      </c>
      <c r="C51" s="651">
        <v>11.711013864370001</v>
      </c>
      <c r="D51" s="651">
        <v>7.6524650847667663</v>
      </c>
      <c r="E51" s="651">
        <v>10.658772946315437</v>
      </c>
      <c r="F51" s="651">
        <v>8.4704690293226843</v>
      </c>
    </row>
    <row r="52" spans="2:6" ht="18" customHeight="1" x14ac:dyDescent="0.25">
      <c r="B52" s="293" t="s">
        <v>591</v>
      </c>
      <c r="C52" s="651">
        <v>7.8247756668497592</v>
      </c>
      <c r="D52" s="651">
        <v>7.6524650847667663</v>
      </c>
      <c r="E52" s="651">
        <v>9.4027754885575234</v>
      </c>
      <c r="F52" s="651">
        <v>7.4541918254874577</v>
      </c>
    </row>
    <row r="53" spans="2:6" ht="18" customHeight="1" x14ac:dyDescent="0.25">
      <c r="B53" s="293" t="s">
        <v>592</v>
      </c>
      <c r="C53" s="651">
        <v>11.646645529835503</v>
      </c>
      <c r="D53" s="651">
        <v>7.6524650847667663</v>
      </c>
      <c r="E53" s="651">
        <v>10.48671850004723</v>
      </c>
      <c r="F53" s="651">
        <v>8.4704690293226843</v>
      </c>
    </row>
    <row r="54" spans="2:6" ht="18" customHeight="1" x14ac:dyDescent="0.25">
      <c r="B54" s="293" t="s">
        <v>593</v>
      </c>
      <c r="C54" s="651">
        <v>12.221937519737567</v>
      </c>
      <c r="D54" s="651">
        <v>7.6524650847667663</v>
      </c>
      <c r="E54" s="651">
        <v>10.288855886838791</v>
      </c>
      <c r="F54" s="651">
        <v>8.4704690293226843</v>
      </c>
    </row>
    <row r="55" spans="2:6" ht="18" customHeight="1" x14ac:dyDescent="0.25">
      <c r="B55" s="293" t="s">
        <v>594</v>
      </c>
      <c r="C55" s="651">
        <v>11.610438341659849</v>
      </c>
      <c r="D55" s="651">
        <v>7.6524650847667663</v>
      </c>
      <c r="E55" s="651">
        <v>9.4027754885575234</v>
      </c>
      <c r="F55" s="651">
        <v>7.4944847542738753</v>
      </c>
    </row>
    <row r="56" spans="2:6" ht="18" customHeight="1" x14ac:dyDescent="0.25">
      <c r="B56" s="293" t="s">
        <v>595</v>
      </c>
      <c r="C56" s="651">
        <v>9.7839868492435045</v>
      </c>
      <c r="D56" s="651">
        <v>7.6524650847667663</v>
      </c>
      <c r="E56" s="651">
        <v>9.4715972670648068</v>
      </c>
      <c r="F56" s="651">
        <v>7.4944847542738753</v>
      </c>
    </row>
    <row r="57" spans="2:6" ht="18" customHeight="1" x14ac:dyDescent="0.25">
      <c r="B57" s="293" t="s">
        <v>596</v>
      </c>
      <c r="C57" s="651">
        <v>10.636867281825586</v>
      </c>
      <c r="D57" s="651">
        <v>7.6524650847667663</v>
      </c>
      <c r="E57" s="651">
        <v>9.5318163232586794</v>
      </c>
      <c r="F57" s="651">
        <v>7.4541918254874577</v>
      </c>
    </row>
    <row r="58" spans="2:6" ht="18" customHeight="1" x14ac:dyDescent="0.25">
      <c r="B58" s="293" t="s">
        <v>597</v>
      </c>
      <c r="C58" s="651">
        <v>11.276527606262148</v>
      </c>
      <c r="D58" s="651">
        <v>7.6524650847667663</v>
      </c>
      <c r="E58" s="651">
        <v>9.5060081563184493</v>
      </c>
      <c r="F58" s="651">
        <v>7.4541918254874577</v>
      </c>
    </row>
    <row r="59" spans="2:6" ht="18" customHeight="1" x14ac:dyDescent="0.25">
      <c r="B59" s="293" t="s">
        <v>598</v>
      </c>
      <c r="C59" s="651">
        <v>4.4212999783382445</v>
      </c>
      <c r="D59" s="651">
        <v>7.6524650847667663</v>
      </c>
      <c r="E59" s="651">
        <v>10.830827392583645</v>
      </c>
      <c r="F59" s="651">
        <v>8.4704690293226843</v>
      </c>
    </row>
    <row r="60" spans="2:6" ht="18" customHeight="1" x14ac:dyDescent="0.25">
      <c r="B60" s="293" t="s">
        <v>599</v>
      </c>
      <c r="C60" s="651">
        <v>12.048947620676108</v>
      </c>
      <c r="D60" s="651">
        <v>7.6524650847667663</v>
      </c>
      <c r="E60" s="651">
        <v>10.435102166166768</v>
      </c>
      <c r="F60" s="651">
        <v>8.4704690293226843</v>
      </c>
    </row>
    <row r="61" spans="2:6" ht="18" customHeight="1" x14ac:dyDescent="0.25">
      <c r="B61" s="293" t="s">
        <v>600</v>
      </c>
      <c r="C61" s="651">
        <v>10.870202494513137</v>
      </c>
      <c r="D61" s="651">
        <v>7.6524650847667663</v>
      </c>
      <c r="E61" s="651">
        <v>8.7231604257981061</v>
      </c>
      <c r="F61" s="651">
        <v>7.1139404268465887</v>
      </c>
    </row>
    <row r="62" spans="2:6" ht="18" customHeight="1" x14ac:dyDescent="0.25">
      <c r="B62" s="293" t="s">
        <v>601</v>
      </c>
      <c r="C62" s="651">
        <v>11.562162090758976</v>
      </c>
      <c r="D62" s="651">
        <v>7.6524650847667663</v>
      </c>
      <c r="E62" s="651">
        <v>8.7747767596785682</v>
      </c>
      <c r="F62" s="651">
        <v>7.1139404268465887</v>
      </c>
    </row>
    <row r="63" spans="2:6" ht="18" customHeight="1" x14ac:dyDescent="0.25">
      <c r="B63" s="293" t="s">
        <v>602</v>
      </c>
      <c r="C63" s="651">
        <v>11.843773554347399</v>
      </c>
      <c r="D63" s="651">
        <v>7.6524650847667663</v>
      </c>
      <c r="E63" s="651">
        <v>8.5425032572164881</v>
      </c>
      <c r="F63" s="651">
        <v>7.1139404268465887</v>
      </c>
    </row>
    <row r="64" spans="2:6" ht="18" customHeight="1" x14ac:dyDescent="0.25">
      <c r="B64" s="293" t="s">
        <v>603</v>
      </c>
      <c r="C64" s="651">
        <v>11.63055344620188</v>
      </c>
      <c r="D64" s="651">
        <v>7.6524650847667663</v>
      </c>
      <c r="E64" s="651">
        <v>8.4478733117689746</v>
      </c>
      <c r="F64" s="651">
        <v>7.1139404268465887</v>
      </c>
    </row>
    <row r="65" spans="2:6" ht="18" customHeight="1" x14ac:dyDescent="0.25">
      <c r="B65" s="293" t="s">
        <v>604</v>
      </c>
      <c r="C65" s="651">
        <v>10.833995306337481</v>
      </c>
      <c r="D65" s="651">
        <v>7.6524650847667663</v>
      </c>
      <c r="E65" s="651">
        <v>9.30814554311001</v>
      </c>
      <c r="F65" s="651">
        <v>7.4541918254874577</v>
      </c>
    </row>
    <row r="66" spans="2:6" ht="18" customHeight="1" x14ac:dyDescent="0.25">
      <c r="B66" s="293" t="s">
        <v>605</v>
      </c>
      <c r="C66" s="651">
        <v>8.1828245276978979</v>
      </c>
      <c r="D66" s="651">
        <v>7.6524650847667663</v>
      </c>
      <c r="E66" s="651">
        <v>9.5146108786318582</v>
      </c>
      <c r="F66" s="651">
        <v>7.4541918254874577</v>
      </c>
    </row>
    <row r="67" spans="2:6" ht="18" customHeight="1" x14ac:dyDescent="0.25">
      <c r="B67" s="293" t="s">
        <v>606</v>
      </c>
      <c r="C67" s="651">
        <v>10.833995306337481</v>
      </c>
      <c r="D67" s="651">
        <v>7.6524650847667663</v>
      </c>
      <c r="E67" s="651">
        <v>9.4027754885575234</v>
      </c>
      <c r="F67" s="651">
        <v>7.4944847542738753</v>
      </c>
    </row>
    <row r="68" spans="2:6" ht="18" customHeight="1" x14ac:dyDescent="0.25">
      <c r="B68" s="293" t="s">
        <v>607</v>
      </c>
      <c r="C68" s="651">
        <v>10.60066009364993</v>
      </c>
      <c r="D68" s="651">
        <v>7.6524650847667663</v>
      </c>
      <c r="E68" s="651">
        <v>9.4199809331843447</v>
      </c>
      <c r="F68" s="651">
        <v>7.4944847542738753</v>
      </c>
    </row>
    <row r="69" spans="2:6" ht="18" customHeight="1" x14ac:dyDescent="0.25">
      <c r="B69" s="293" t="s">
        <v>608</v>
      </c>
      <c r="C69" s="651">
        <v>10.709281658176893</v>
      </c>
      <c r="D69" s="651">
        <v>7.6524650847667663</v>
      </c>
      <c r="E69" s="651">
        <v>9.5318163232586794</v>
      </c>
      <c r="F69" s="651">
        <v>7.4944847542738753</v>
      </c>
    </row>
    <row r="70" spans="2:6" ht="18" customHeight="1" x14ac:dyDescent="0.25">
      <c r="B70" s="293" t="s">
        <v>609</v>
      </c>
      <c r="C70" s="651">
        <v>12.676538882387451</v>
      </c>
      <c r="D70" s="651">
        <v>7.6524650847667663</v>
      </c>
      <c r="E70" s="651">
        <v>8.6801468142310547</v>
      </c>
      <c r="F70" s="651">
        <v>7.1139404268465887</v>
      </c>
    </row>
    <row r="71" spans="2:6" ht="18" customHeight="1" x14ac:dyDescent="0.25">
      <c r="B71" s="293" t="s">
        <v>610</v>
      </c>
      <c r="C71" s="651">
        <v>11.381126149880703</v>
      </c>
      <c r="D71" s="651">
        <v>7.6524650847667663</v>
      </c>
      <c r="E71" s="651">
        <v>8.7145577034846955</v>
      </c>
      <c r="F71" s="651">
        <v>7.1139404268465887</v>
      </c>
    </row>
    <row r="72" spans="2:6" ht="18" customHeight="1" x14ac:dyDescent="0.25">
      <c r="B72" s="293" t="s">
        <v>611</v>
      </c>
      <c r="C72" s="651">
        <v>8.5086892212787877</v>
      </c>
      <c r="D72" s="651">
        <v>7.6524650847667663</v>
      </c>
      <c r="E72" s="651">
        <v>9.4457891001245766</v>
      </c>
      <c r="F72" s="651">
        <v>7.4541918254874577</v>
      </c>
    </row>
    <row r="73" spans="2:6" ht="18" customHeight="1" x14ac:dyDescent="0.25">
      <c r="B73" s="293" t="s">
        <v>612</v>
      </c>
      <c r="C73" s="651">
        <v>8.649494953072999</v>
      </c>
      <c r="D73" s="651">
        <v>7.6524650847667663</v>
      </c>
      <c r="E73" s="651">
        <v>8.8866121497529029</v>
      </c>
      <c r="F73" s="651">
        <v>7.1139404268465887</v>
      </c>
    </row>
    <row r="74" spans="2:6" ht="18" customHeight="1" x14ac:dyDescent="0.25">
      <c r="B74" s="293" t="s">
        <v>613</v>
      </c>
      <c r="C74" s="651">
        <v>11.131698853559529</v>
      </c>
      <c r="D74" s="651">
        <v>7.6524650847667663</v>
      </c>
      <c r="E74" s="651">
        <v>10.779211058703181</v>
      </c>
      <c r="F74" s="651">
        <v>8.4704690293226843</v>
      </c>
    </row>
    <row r="75" spans="2:6" ht="18" customHeight="1" x14ac:dyDescent="0.25">
      <c r="B75" s="293" t="s">
        <v>614</v>
      </c>
      <c r="C75" s="651">
        <v>11.896072826156677</v>
      </c>
      <c r="D75" s="651">
        <v>7.6524650847667663</v>
      </c>
      <c r="E75" s="651">
        <v>8.5080923679628455</v>
      </c>
      <c r="F75" s="651">
        <v>7.1139404268465887</v>
      </c>
    </row>
    <row r="76" spans="2:6" ht="18" customHeight="1" x14ac:dyDescent="0.25">
      <c r="B76" s="293" t="s">
        <v>615</v>
      </c>
      <c r="C76" s="651">
        <v>11.888026784339866</v>
      </c>
      <c r="D76" s="651">
        <v>7.6524650847667663</v>
      </c>
      <c r="E76" s="651">
        <v>10.727594724822721</v>
      </c>
      <c r="F76" s="651">
        <v>8.4704690293226843</v>
      </c>
    </row>
    <row r="77" spans="2:6" ht="18" customHeight="1" x14ac:dyDescent="0.25">
      <c r="B77" s="293" t="s">
        <v>616</v>
      </c>
      <c r="C77" s="651">
        <v>11.011008226307348</v>
      </c>
      <c r="D77" s="651">
        <v>7.6524650847667663</v>
      </c>
      <c r="E77" s="651">
        <v>9.4199809331843447</v>
      </c>
      <c r="F77" s="651">
        <v>7.4944847542738753</v>
      </c>
    </row>
    <row r="78" spans="2:6" ht="18" customHeight="1" x14ac:dyDescent="0.25">
      <c r="B78" s="293" t="s">
        <v>617</v>
      </c>
      <c r="C78" s="651">
        <v>10.966754996314881</v>
      </c>
      <c r="D78" s="651">
        <v>7.6524650847667663</v>
      </c>
      <c r="E78" s="651">
        <v>9.3855700439307039</v>
      </c>
      <c r="F78" s="651">
        <v>7.4944847542738753</v>
      </c>
    </row>
    <row r="79" spans="2:6" ht="18" customHeight="1" x14ac:dyDescent="0.25">
      <c r="B79" s="293" t="s">
        <v>618</v>
      </c>
      <c r="C79" s="651">
        <v>11.892049805248273</v>
      </c>
      <c r="D79" s="651">
        <v>7.6524650847667663</v>
      </c>
      <c r="E79" s="651">
        <v>10.658772946315437</v>
      </c>
      <c r="F79" s="651">
        <v>8.4704690293226843</v>
      </c>
    </row>
    <row r="80" spans="2:6" ht="18" customHeight="1" x14ac:dyDescent="0.25">
      <c r="B80" s="293" t="s">
        <v>619</v>
      </c>
      <c r="C80" s="651">
        <v>11.972510223416393</v>
      </c>
      <c r="D80" s="651">
        <v>7.6524650847667663</v>
      </c>
      <c r="E80" s="651">
        <v>9.3425564323636525</v>
      </c>
      <c r="F80" s="651">
        <v>7.4944847542738753</v>
      </c>
    </row>
    <row r="81" spans="2:6" ht="18" customHeight="1" x14ac:dyDescent="0.25">
      <c r="B81" s="293" t="s">
        <v>620</v>
      </c>
      <c r="C81" s="651">
        <v>11.678829697102751</v>
      </c>
      <c r="D81" s="651">
        <v>7.6524650847667663</v>
      </c>
      <c r="E81" s="651">
        <v>9.4457891001245766</v>
      </c>
      <c r="F81" s="651">
        <v>7.4541918254874577</v>
      </c>
    </row>
    <row r="82" spans="2:6" ht="18" customHeight="1" x14ac:dyDescent="0.25">
      <c r="B82" s="293" t="s">
        <v>621</v>
      </c>
      <c r="C82" s="651">
        <v>11.280550627170554</v>
      </c>
      <c r="D82" s="651">
        <v>7.6524650847667663</v>
      </c>
      <c r="E82" s="651">
        <v>8.7747767596785682</v>
      </c>
      <c r="F82" s="651">
        <v>7.1139404268465887</v>
      </c>
    </row>
    <row r="83" spans="2:6" ht="18" customHeight="1" x14ac:dyDescent="0.25">
      <c r="B83" s="293" t="s">
        <v>622</v>
      </c>
      <c r="C83" s="651">
        <v>11.067330519025033</v>
      </c>
      <c r="D83" s="651">
        <v>7.6524650847667663</v>
      </c>
      <c r="E83" s="651">
        <v>8.8435985381858497</v>
      </c>
      <c r="F83" s="651">
        <v>7.1139404268465887</v>
      </c>
    </row>
    <row r="84" spans="2:6" ht="18" customHeight="1" x14ac:dyDescent="0.25">
      <c r="B84" s="293" t="s">
        <v>623</v>
      </c>
      <c r="C84" s="651">
        <v>9.9569767483049638</v>
      </c>
      <c r="D84" s="651">
        <v>7.6524650847667663</v>
      </c>
      <c r="E84" s="651">
        <v>9.2135155976624965</v>
      </c>
      <c r="F84" s="651">
        <v>7.4541918254874577</v>
      </c>
    </row>
    <row r="85" spans="2:6" ht="18" customHeight="1" x14ac:dyDescent="0.25">
      <c r="B85" s="293" t="s">
        <v>624</v>
      </c>
      <c r="C85" s="651">
        <v>10.717327699993707</v>
      </c>
      <c r="D85" s="651">
        <v>7.6524650847667663</v>
      </c>
      <c r="E85" s="651">
        <v>10.615759334748386</v>
      </c>
      <c r="F85" s="651">
        <v>8.4704690293226843</v>
      </c>
    </row>
    <row r="86" spans="2:6" ht="18" customHeight="1" x14ac:dyDescent="0.25">
      <c r="B86" s="293" t="s">
        <v>625</v>
      </c>
      <c r="C86" s="651">
        <v>10.817903222703857</v>
      </c>
      <c r="D86" s="651">
        <v>7.6524650847667663</v>
      </c>
      <c r="E86" s="651">
        <v>9.3511591546770632</v>
      </c>
      <c r="F86" s="651">
        <v>7.4944847542738753</v>
      </c>
    </row>
    <row r="87" spans="2:6" ht="18" customHeight="1" x14ac:dyDescent="0.25">
      <c r="B87" s="293" t="s">
        <v>626</v>
      </c>
      <c r="C87" s="651">
        <v>10.43973925731369</v>
      </c>
      <c r="D87" s="651">
        <v>7.6524650847667663</v>
      </c>
      <c r="E87" s="651">
        <v>9.3425564323636525</v>
      </c>
      <c r="F87" s="651">
        <v>7.4944847542738753</v>
      </c>
    </row>
    <row r="88" spans="2:6" ht="18" customHeight="1" x14ac:dyDescent="0.25">
      <c r="B88" s="293" t="s">
        <v>627</v>
      </c>
      <c r="C88" s="651">
        <v>10.025368103747867</v>
      </c>
      <c r="D88" s="651">
        <v>7.6524650847667663</v>
      </c>
      <c r="E88" s="651">
        <v>9.488802711691628</v>
      </c>
      <c r="F88" s="651">
        <v>7.4541918254874577</v>
      </c>
    </row>
    <row r="89" spans="2:6" ht="18" customHeight="1" x14ac:dyDescent="0.25">
      <c r="B89" s="293" t="s">
        <v>628</v>
      </c>
      <c r="C89" s="651">
        <v>11.377103128972298</v>
      </c>
      <c r="D89" s="651">
        <v>7.6524650847667663</v>
      </c>
      <c r="E89" s="651">
        <v>8.7661740373651575</v>
      </c>
      <c r="F89" s="651">
        <v>7.1139404268465887</v>
      </c>
    </row>
    <row r="90" spans="2:6" ht="18" customHeight="1" x14ac:dyDescent="0.25">
      <c r="B90" s="293" t="s">
        <v>629</v>
      </c>
      <c r="C90" s="651">
        <v>10.146058731000048</v>
      </c>
      <c r="D90" s="651">
        <v>7.6524650847667663</v>
      </c>
      <c r="E90" s="651">
        <v>9.3511591546770632</v>
      </c>
      <c r="F90" s="651">
        <v>7.4541918254874577</v>
      </c>
    </row>
    <row r="91" spans="2:6" ht="18" customHeight="1" x14ac:dyDescent="0.25">
      <c r="B91" s="293" t="s">
        <v>630</v>
      </c>
      <c r="C91" s="651">
        <v>12.13745408066104</v>
      </c>
      <c r="D91" s="651">
        <v>7.6524650847667663</v>
      </c>
      <c r="E91" s="651">
        <v>9.0844747629613423</v>
      </c>
      <c r="F91" s="651">
        <v>7.4541918254874577</v>
      </c>
    </row>
    <row r="92" spans="2:6" ht="18" customHeight="1" x14ac:dyDescent="0.25">
      <c r="B92" s="293" t="s">
        <v>631</v>
      </c>
      <c r="C92" s="651">
        <v>11.441471463506794</v>
      </c>
      <c r="D92" s="651">
        <v>7.6524650847667663</v>
      </c>
      <c r="E92" s="651">
        <v>10.693183835569078</v>
      </c>
      <c r="F92" s="651">
        <v>8.4704690293226843</v>
      </c>
    </row>
    <row r="93" spans="2:6" ht="18" customHeight="1" x14ac:dyDescent="0.25">
      <c r="B93" s="293" t="s">
        <v>632</v>
      </c>
      <c r="C93" s="651">
        <v>10.934570829047633</v>
      </c>
      <c r="D93" s="651">
        <v>7.6524650847667663</v>
      </c>
      <c r="E93" s="651">
        <v>9.2565292092295479</v>
      </c>
      <c r="F93" s="651">
        <v>7.4944847542738753</v>
      </c>
    </row>
    <row r="94" spans="2:6" ht="18" customHeight="1" x14ac:dyDescent="0.25">
      <c r="B94" s="293" t="s">
        <v>633</v>
      </c>
      <c r="C94" s="651">
        <v>10.761580929986174</v>
      </c>
      <c r="D94" s="651">
        <v>7.6524650847667663</v>
      </c>
      <c r="E94" s="651">
        <v>9.3339537100502419</v>
      </c>
      <c r="F94" s="651">
        <v>7.4541918254874577</v>
      </c>
    </row>
    <row r="95" spans="2:6" ht="18" customHeight="1" x14ac:dyDescent="0.25">
      <c r="B95" s="293" t="s">
        <v>634</v>
      </c>
      <c r="C95" s="651">
        <v>11.670783655285939</v>
      </c>
      <c r="D95" s="651">
        <v>7.6524650847667663</v>
      </c>
      <c r="E95" s="651">
        <v>10.435102166166768</v>
      </c>
      <c r="F95" s="651">
        <v>8.4704690293226843</v>
      </c>
    </row>
    <row r="96" spans="2:6" ht="18" customHeight="1" x14ac:dyDescent="0.25">
      <c r="B96" s="293" t="s">
        <v>635</v>
      </c>
      <c r="C96" s="651">
        <v>8.9351294375698291</v>
      </c>
      <c r="D96" s="651">
        <v>7.6524650847667663</v>
      </c>
      <c r="E96" s="651">
        <v>9.4027754885575234</v>
      </c>
      <c r="F96" s="651">
        <v>7.4944847542738753</v>
      </c>
    </row>
    <row r="97" spans="2:6" ht="18" customHeight="1" x14ac:dyDescent="0.25">
      <c r="B97" s="293" t="s">
        <v>636</v>
      </c>
      <c r="C97" s="651">
        <v>11.964464181599581</v>
      </c>
      <c r="D97" s="651">
        <v>7.6524650847667663</v>
      </c>
      <c r="E97" s="651">
        <v>8.8263930935590302</v>
      </c>
      <c r="F97" s="651">
        <v>7.1139404268465887</v>
      </c>
    </row>
    <row r="98" spans="2:6" ht="18" customHeight="1" x14ac:dyDescent="0.25">
      <c r="B98" s="293" t="s">
        <v>637</v>
      </c>
      <c r="C98" s="651">
        <v>12.173661268836694</v>
      </c>
      <c r="D98" s="651">
        <v>7.6524650847667663</v>
      </c>
      <c r="E98" s="651">
        <v>10.675978390942257</v>
      </c>
      <c r="F98" s="651">
        <v>8.4704690293226843</v>
      </c>
    </row>
    <row r="99" spans="2:6" ht="18" customHeight="1" x14ac:dyDescent="0.35">
      <c r="B99" s="202"/>
    </row>
    <row r="100" spans="2:6" ht="18" customHeight="1" x14ac:dyDescent="0.3">
      <c r="B100" s="3" t="s">
        <v>582</v>
      </c>
      <c r="C100" s="36"/>
      <c r="D100" s="36"/>
      <c r="E100" s="36"/>
    </row>
    <row r="101" spans="2:6" ht="18" customHeight="1" x14ac:dyDescent="0.25">
      <c r="B101" s="13" t="s">
        <v>583</v>
      </c>
      <c r="C101" s="36"/>
      <c r="D101" s="36"/>
      <c r="E101" s="36"/>
    </row>
    <row r="102" spans="2:6" ht="10.5" customHeight="1" x14ac:dyDescent="0.3">
      <c r="B102" s="545" t="s">
        <v>185</v>
      </c>
      <c r="C102" s="545" t="s">
        <v>584</v>
      </c>
      <c r="D102" s="545" t="s">
        <v>585</v>
      </c>
      <c r="E102" s="545" t="s">
        <v>586</v>
      </c>
      <c r="F102" s="545" t="s">
        <v>587</v>
      </c>
    </row>
    <row r="103" spans="2:6" ht="13.5" customHeight="1" x14ac:dyDescent="0.25">
      <c r="B103" s="393" t="s">
        <v>588</v>
      </c>
      <c r="C103" s="261">
        <v>8.4306506616975287</v>
      </c>
      <c r="D103" s="262">
        <v>7.6794872975386967</v>
      </c>
      <c r="E103" s="261">
        <v>9.3036225821988996</v>
      </c>
      <c r="F103" s="261">
        <v>7.4440910290650608</v>
      </c>
    </row>
    <row r="104" spans="2:6" ht="13.5" customHeight="1" x14ac:dyDescent="0.25">
      <c r="B104" s="393" t="s">
        <v>589</v>
      </c>
      <c r="C104" s="261">
        <v>7.9240879609946724</v>
      </c>
      <c r="D104" s="262">
        <v>7.6794872975386967</v>
      </c>
      <c r="E104" s="261">
        <v>10.757049543269027</v>
      </c>
      <c r="F104" s="261">
        <v>8.4596010432464102</v>
      </c>
    </row>
    <row r="105" spans="2:6" ht="13.5" customHeight="1" x14ac:dyDescent="0.25">
      <c r="B105" s="393" t="s">
        <v>590</v>
      </c>
      <c r="C105" s="261">
        <v>11.771552282999695</v>
      </c>
      <c r="D105" s="262">
        <v>7.6794872975386967</v>
      </c>
      <c r="E105" s="261">
        <v>10.537345467758428</v>
      </c>
      <c r="F105" s="261">
        <v>8.4596010432464102</v>
      </c>
    </row>
    <row r="106" spans="2:6" ht="13.5" customHeight="1" x14ac:dyDescent="0.25">
      <c r="B106" s="393" t="s">
        <v>591</v>
      </c>
      <c r="C106" s="261">
        <v>8.342203206019251</v>
      </c>
      <c r="D106" s="262">
        <v>7.6794872975386967</v>
      </c>
      <c r="E106" s="261">
        <v>9.2698219551972691</v>
      </c>
      <c r="F106" s="261">
        <v>7.4440910290650608</v>
      </c>
    </row>
    <row r="107" spans="2:6" ht="13.5" customHeight="1" x14ac:dyDescent="0.25">
      <c r="B107" s="393" t="s">
        <v>592</v>
      </c>
      <c r="C107" s="261">
        <v>11.252928565613438</v>
      </c>
      <c r="D107" s="262">
        <v>7.6794872975386967</v>
      </c>
      <c r="E107" s="261">
        <v>10.410593116502312</v>
      </c>
      <c r="F107" s="261">
        <v>8.4596010432464102</v>
      </c>
    </row>
    <row r="108" spans="2:6" ht="13.5" customHeight="1" x14ac:dyDescent="0.25">
      <c r="B108" s="393" t="s">
        <v>593</v>
      </c>
      <c r="C108" s="261">
        <v>12.133382783501736</v>
      </c>
      <c r="D108" s="262">
        <v>7.6794872975386967</v>
      </c>
      <c r="E108" s="261">
        <v>10.173988727490896</v>
      </c>
      <c r="F108" s="261">
        <v>8.4596010432464102</v>
      </c>
    </row>
    <row r="109" spans="2:6" ht="13.5" customHeight="1" x14ac:dyDescent="0.25">
      <c r="B109" s="393" t="s">
        <v>594</v>
      </c>
      <c r="C109" s="261">
        <v>10.678020103704641</v>
      </c>
      <c r="D109" s="262">
        <v>7.6794872975386967</v>
      </c>
      <c r="E109" s="261">
        <v>9.3881241497029784</v>
      </c>
      <c r="F109" s="261">
        <v>7.4888271530378061</v>
      </c>
    </row>
    <row r="110" spans="2:6" ht="13.5" customHeight="1" x14ac:dyDescent="0.25">
      <c r="B110" s="393" t="s">
        <v>595</v>
      </c>
      <c r="C110" s="261">
        <v>10.336291297674938</v>
      </c>
      <c r="D110" s="262">
        <v>7.6794872975386967</v>
      </c>
      <c r="E110" s="261">
        <v>9.1346194471907456</v>
      </c>
      <c r="F110" s="261">
        <v>7.4888271530378061</v>
      </c>
    </row>
    <row r="111" spans="2:6" ht="13.5" customHeight="1" x14ac:dyDescent="0.25">
      <c r="B111" s="393" t="s">
        <v>596</v>
      </c>
      <c r="C111" s="261">
        <v>10.842853998377795</v>
      </c>
      <c r="D111" s="262">
        <v>7.6794872975386967</v>
      </c>
      <c r="E111" s="261">
        <v>9.3205228956997157</v>
      </c>
      <c r="F111" s="261">
        <v>7.4440910290650608</v>
      </c>
    </row>
    <row r="112" spans="2:6" ht="13.5" customHeight="1" x14ac:dyDescent="0.25">
      <c r="B112" s="393" t="s">
        <v>597</v>
      </c>
      <c r="C112" s="261">
        <v>11.140359076568359</v>
      </c>
      <c r="D112" s="262">
        <v>7.6794872975386967</v>
      </c>
      <c r="E112" s="261">
        <v>9.2782721119476772</v>
      </c>
      <c r="F112" s="261">
        <v>7.4440910290650608</v>
      </c>
    </row>
    <row r="113" spans="2:6" ht="13.5" customHeight="1" x14ac:dyDescent="0.25">
      <c r="B113" s="393" t="s">
        <v>598</v>
      </c>
      <c r="C113" s="261">
        <v>9.1985353905407461</v>
      </c>
      <c r="D113" s="262">
        <v>7.6794872975386967</v>
      </c>
      <c r="E113" s="261">
        <v>10.596496565011281</v>
      </c>
      <c r="F113" s="261">
        <v>8.4596010432464102</v>
      </c>
    </row>
    <row r="114" spans="2:6" ht="13.5" customHeight="1" x14ac:dyDescent="0.25">
      <c r="B114" s="393" t="s">
        <v>599</v>
      </c>
      <c r="C114" s="261">
        <v>11.667023471743549</v>
      </c>
      <c r="D114" s="262">
        <v>7.6794872975386967</v>
      </c>
      <c r="E114" s="261">
        <v>10.34299186249905</v>
      </c>
      <c r="F114" s="261">
        <v>8.4596010432464102</v>
      </c>
    </row>
    <row r="115" spans="2:6" ht="13.5" customHeight="1" x14ac:dyDescent="0.25">
      <c r="B115" s="393" t="s">
        <v>600</v>
      </c>
      <c r="C115" s="261">
        <v>10.464942142297884</v>
      </c>
      <c r="D115" s="262">
        <v>7.6794872975386967</v>
      </c>
      <c r="E115" s="261">
        <v>8.5431084746622048</v>
      </c>
      <c r="F115" s="261">
        <v>7.1085700992694596</v>
      </c>
    </row>
    <row r="116" spans="2:6" ht="13.5" customHeight="1" x14ac:dyDescent="0.25">
      <c r="B116" s="393" t="s">
        <v>601</v>
      </c>
      <c r="C116" s="261">
        <v>11.067992976467952</v>
      </c>
      <c r="D116" s="262">
        <v>7.6794872975386967</v>
      </c>
      <c r="E116" s="261">
        <v>8.6614106691679122</v>
      </c>
      <c r="F116" s="261">
        <v>7.1085700992694596</v>
      </c>
    </row>
    <row r="117" spans="2:6" ht="13.5" customHeight="1" x14ac:dyDescent="0.25">
      <c r="B117" s="393" t="s">
        <v>602</v>
      </c>
      <c r="C117" s="261">
        <v>11.309213310135977</v>
      </c>
      <c r="D117" s="262">
        <v>7.6794872975386967</v>
      </c>
      <c r="E117" s="261">
        <v>8.3741053396540508</v>
      </c>
      <c r="F117" s="261">
        <v>7.1085700992694596</v>
      </c>
    </row>
    <row r="118" spans="2:6" ht="13.5" customHeight="1" x14ac:dyDescent="0.25">
      <c r="B118" s="393" t="s">
        <v>603</v>
      </c>
      <c r="C118" s="261">
        <v>11.096135348729222</v>
      </c>
      <c r="D118" s="262">
        <v>7.6794872975386967</v>
      </c>
      <c r="E118" s="261">
        <v>8.3234043991516042</v>
      </c>
      <c r="F118" s="261">
        <v>7.1085700992694596</v>
      </c>
    </row>
    <row r="119" spans="2:6" ht="13.5" customHeight="1" x14ac:dyDescent="0.25">
      <c r="B119" s="393" t="s">
        <v>604</v>
      </c>
      <c r="C119" s="261">
        <v>9.9262167304392932</v>
      </c>
      <c r="D119" s="262">
        <v>7.6794872975386967</v>
      </c>
      <c r="E119" s="261">
        <v>9.1430696039411536</v>
      </c>
      <c r="F119" s="261">
        <v>7.4440910290650608</v>
      </c>
    </row>
    <row r="120" spans="2:6" ht="13.5" customHeight="1" x14ac:dyDescent="0.25">
      <c r="B120" s="393" t="s">
        <v>605</v>
      </c>
      <c r="C120" s="261">
        <v>8.470854050642199</v>
      </c>
      <c r="D120" s="262">
        <v>7.6794872975386967</v>
      </c>
      <c r="E120" s="261">
        <v>9.2867222686980835</v>
      </c>
      <c r="F120" s="261">
        <v>7.4440910290650608</v>
      </c>
    </row>
    <row r="121" spans="2:6" ht="13.5" customHeight="1" x14ac:dyDescent="0.25">
      <c r="B121" s="393" t="s">
        <v>606</v>
      </c>
      <c r="C121" s="261">
        <v>10.364433669936208</v>
      </c>
      <c r="D121" s="262">
        <v>7.6794872975386967</v>
      </c>
      <c r="E121" s="261">
        <v>9.252921641696453</v>
      </c>
      <c r="F121" s="261">
        <v>7.4888271530378061</v>
      </c>
    </row>
    <row r="122" spans="2:6" ht="13.5" customHeight="1" x14ac:dyDescent="0.25">
      <c r="B122" s="393" t="s">
        <v>607</v>
      </c>
      <c r="C122" s="261">
        <v>10.44484044782555</v>
      </c>
      <c r="D122" s="262">
        <v>7.6794872975386967</v>
      </c>
      <c r="E122" s="261">
        <v>9.1346194471907456</v>
      </c>
      <c r="F122" s="261">
        <v>7.4888271530378061</v>
      </c>
    </row>
    <row r="123" spans="2:6" ht="13.5" customHeight="1" x14ac:dyDescent="0.25">
      <c r="B123" s="393" t="s">
        <v>608</v>
      </c>
      <c r="C123" s="261">
        <v>9.8498302914444178</v>
      </c>
      <c r="D123" s="262">
        <v>7.6794872975386967</v>
      </c>
      <c r="E123" s="261">
        <v>9.2698219551972691</v>
      </c>
      <c r="F123" s="261">
        <v>7.4888271530378061</v>
      </c>
    </row>
    <row r="124" spans="2:6" ht="13.5" customHeight="1" x14ac:dyDescent="0.25">
      <c r="B124" s="393" t="s">
        <v>609</v>
      </c>
      <c r="C124" s="261">
        <v>11.968548888828584</v>
      </c>
      <c r="D124" s="262">
        <v>7.6794872975386967</v>
      </c>
      <c r="E124" s="261">
        <v>8.5431084746622048</v>
      </c>
      <c r="F124" s="261">
        <v>7.1085700992694596</v>
      </c>
    </row>
    <row r="125" spans="2:6" ht="13.5" customHeight="1" x14ac:dyDescent="0.25">
      <c r="B125" s="393" t="s">
        <v>610</v>
      </c>
      <c r="C125" s="261">
        <v>10.597613325815299</v>
      </c>
      <c r="D125" s="262">
        <v>7.6794872975386967</v>
      </c>
      <c r="E125" s="261">
        <v>8.5093078476605744</v>
      </c>
      <c r="F125" s="261">
        <v>7.1085700992694596</v>
      </c>
    </row>
    <row r="126" spans="2:6" ht="13.5" customHeight="1" x14ac:dyDescent="0.25">
      <c r="B126" s="393" t="s">
        <v>611</v>
      </c>
      <c r="C126" s="261">
        <v>9.1422506460182067</v>
      </c>
      <c r="D126" s="262">
        <v>7.6794872975386967</v>
      </c>
      <c r="E126" s="261">
        <v>9.2698219551972691</v>
      </c>
      <c r="F126" s="261">
        <v>7.4440910290650608</v>
      </c>
    </row>
    <row r="127" spans="2:6" ht="13.5" customHeight="1" x14ac:dyDescent="0.25">
      <c r="B127" s="393" t="s">
        <v>612</v>
      </c>
      <c r="C127" s="261">
        <v>9.0779252237067318</v>
      </c>
      <c r="D127" s="262">
        <v>7.6794872975386967</v>
      </c>
      <c r="E127" s="261">
        <v>8.7205617664207669</v>
      </c>
      <c r="F127" s="261">
        <v>7.1085700992694596</v>
      </c>
    </row>
    <row r="128" spans="2:6" ht="13.5" customHeight="1" x14ac:dyDescent="0.25">
      <c r="B128" s="393" t="s">
        <v>613</v>
      </c>
      <c r="C128" s="261">
        <v>10.834813320588857</v>
      </c>
      <c r="D128" s="262">
        <v>7.6794872975386967</v>
      </c>
      <c r="E128" s="261">
        <v>10.596496565011281</v>
      </c>
      <c r="F128" s="261">
        <v>8.4596010432464102</v>
      </c>
    </row>
    <row r="129" spans="2:6" ht="13.5" customHeight="1" x14ac:dyDescent="0.25">
      <c r="B129" s="393" t="s">
        <v>614</v>
      </c>
      <c r="C129" s="261">
        <v>11.30519297124151</v>
      </c>
      <c r="D129" s="262">
        <v>7.6794872975386967</v>
      </c>
      <c r="E129" s="261">
        <v>8.3994558099052732</v>
      </c>
      <c r="F129" s="261">
        <v>7.1085700992694596</v>
      </c>
    </row>
    <row r="130" spans="2:6" ht="13.5" customHeight="1" x14ac:dyDescent="0.25">
      <c r="B130" s="393" t="s">
        <v>615</v>
      </c>
      <c r="C130" s="261">
        <v>11.349416699080649</v>
      </c>
      <c r="D130" s="262">
        <v>7.6794872975386967</v>
      </c>
      <c r="E130" s="261">
        <v>10.486644527255979</v>
      </c>
      <c r="F130" s="261">
        <v>8.4596010432464102</v>
      </c>
    </row>
    <row r="131" spans="2:6" ht="13.5" customHeight="1" x14ac:dyDescent="0.25">
      <c r="B131" s="393" t="s">
        <v>616</v>
      </c>
      <c r="C131" s="261">
        <v>10.468962481192353</v>
      </c>
      <c r="D131" s="262">
        <v>7.6794872975386967</v>
      </c>
      <c r="E131" s="261">
        <v>9.2698219551972691</v>
      </c>
      <c r="F131" s="261">
        <v>7.4888271530378061</v>
      </c>
    </row>
    <row r="132" spans="2:6" ht="13.5" customHeight="1" x14ac:dyDescent="0.25">
      <c r="B132" s="393" t="s">
        <v>617</v>
      </c>
      <c r="C132" s="261">
        <v>9.8659116470222852</v>
      </c>
      <c r="D132" s="262">
        <v>7.6794872975386967</v>
      </c>
      <c r="E132" s="261">
        <v>9.2106708579444145</v>
      </c>
      <c r="F132" s="261">
        <v>7.4888271530378061</v>
      </c>
    </row>
    <row r="133" spans="2:6" x14ac:dyDescent="0.25">
      <c r="B133" s="393" t="s">
        <v>618</v>
      </c>
      <c r="C133" s="261">
        <v>11.699186182899288</v>
      </c>
      <c r="D133" s="262">
        <v>7.6794872975386967</v>
      </c>
      <c r="E133" s="261">
        <v>10.469744213755163</v>
      </c>
      <c r="F133" s="261">
        <v>8.4596010432464102</v>
      </c>
    </row>
    <row r="134" spans="2:6" ht="12.75" customHeight="1" x14ac:dyDescent="0.25">
      <c r="B134" s="393" t="s">
        <v>619</v>
      </c>
      <c r="C134" s="261">
        <v>11.273030260085775</v>
      </c>
      <c r="D134" s="262">
        <v>7.6794872975386967</v>
      </c>
      <c r="E134" s="261">
        <v>9.1177191336899295</v>
      </c>
      <c r="F134" s="261">
        <v>7.4888271530378061</v>
      </c>
    </row>
    <row r="135" spans="2:6" x14ac:dyDescent="0.25">
      <c r="B135" s="393" t="s">
        <v>620</v>
      </c>
      <c r="C135" s="261">
        <v>10.939342131845002</v>
      </c>
      <c r="D135" s="262">
        <v>7.6794872975386967</v>
      </c>
      <c r="E135" s="261">
        <v>9.252921641696453</v>
      </c>
      <c r="F135" s="261">
        <v>7.4440910290650608</v>
      </c>
    </row>
    <row r="136" spans="2:6" x14ac:dyDescent="0.25">
      <c r="B136" s="393" t="s">
        <v>621</v>
      </c>
      <c r="C136" s="261">
        <v>10.649877731443373</v>
      </c>
      <c r="D136" s="262">
        <v>7.6794872975386967</v>
      </c>
      <c r="E136" s="261">
        <v>8.6191598854158737</v>
      </c>
      <c r="F136" s="261">
        <v>7.1085700992694596</v>
      </c>
    </row>
    <row r="137" spans="2:6" x14ac:dyDescent="0.25">
      <c r="B137" s="393" t="s">
        <v>622</v>
      </c>
      <c r="C137" s="261">
        <v>10.597613325815299</v>
      </c>
      <c r="D137" s="262">
        <v>7.6794872975386967</v>
      </c>
      <c r="E137" s="261">
        <v>8.6360601989166899</v>
      </c>
      <c r="F137" s="261">
        <v>7.1085700992694596</v>
      </c>
    </row>
    <row r="138" spans="2:6" x14ac:dyDescent="0.25">
      <c r="B138" s="393" t="s">
        <v>623</v>
      </c>
      <c r="C138" s="261">
        <v>9.9825014749618308</v>
      </c>
      <c r="D138" s="262">
        <v>7.6794872975386967</v>
      </c>
      <c r="E138" s="261">
        <v>9.1092689769395214</v>
      </c>
      <c r="F138" s="261">
        <v>7.4440910290650608</v>
      </c>
    </row>
    <row r="139" spans="2:6" x14ac:dyDescent="0.25">
      <c r="B139" s="393" t="s">
        <v>624</v>
      </c>
      <c r="C139" s="261">
        <v>10.549369259081695</v>
      </c>
      <c r="D139" s="262">
        <v>7.6794872975386967</v>
      </c>
      <c r="E139" s="261">
        <v>10.435943586753535</v>
      </c>
      <c r="F139" s="261">
        <v>8.4596010432464102</v>
      </c>
    </row>
    <row r="140" spans="2:6" x14ac:dyDescent="0.25">
      <c r="B140" s="393" t="s">
        <v>625</v>
      </c>
      <c r="C140" s="261">
        <v>10.54132858129276</v>
      </c>
      <c r="D140" s="262">
        <v>7.6794872975386967</v>
      </c>
      <c r="E140" s="261">
        <v>9.1346194471907456</v>
      </c>
      <c r="F140" s="261">
        <v>7.4888271530378061</v>
      </c>
    </row>
    <row r="141" spans="2:6" x14ac:dyDescent="0.25">
      <c r="B141" s="393" t="s">
        <v>626</v>
      </c>
      <c r="C141" s="261">
        <v>9.7251997857159367</v>
      </c>
      <c r="D141" s="262">
        <v>7.6794872975386967</v>
      </c>
      <c r="E141" s="261">
        <v>9.3036225821988996</v>
      </c>
      <c r="F141" s="261">
        <v>7.4888271530378061</v>
      </c>
    </row>
    <row r="142" spans="2:6" x14ac:dyDescent="0.25">
      <c r="B142" s="393" t="s">
        <v>627</v>
      </c>
      <c r="C142" s="261">
        <v>9.8659116470222852</v>
      </c>
      <c r="D142" s="262">
        <v>7.6794872975386967</v>
      </c>
      <c r="E142" s="261">
        <v>9.252921641696453</v>
      </c>
      <c r="F142" s="261">
        <v>7.4440910290650608</v>
      </c>
    </row>
    <row r="143" spans="2:6" x14ac:dyDescent="0.25">
      <c r="B143" s="393" t="s">
        <v>628</v>
      </c>
      <c r="C143" s="261">
        <v>11.104176026518155</v>
      </c>
      <c r="D143" s="262">
        <v>7.6794872975386967</v>
      </c>
      <c r="E143" s="261">
        <v>8.5938094151646514</v>
      </c>
      <c r="F143" s="261">
        <v>7.1085700992694596</v>
      </c>
    </row>
    <row r="144" spans="2:6" x14ac:dyDescent="0.25">
      <c r="B144" s="393" t="s">
        <v>629</v>
      </c>
      <c r="C144" s="261">
        <v>9.588508263304055</v>
      </c>
      <c r="D144" s="262">
        <v>7.6794872975386967</v>
      </c>
      <c r="E144" s="261">
        <v>9.2275711714452306</v>
      </c>
      <c r="F144" s="261">
        <v>7.4440910290650608</v>
      </c>
    </row>
    <row r="145" spans="2:6" x14ac:dyDescent="0.25">
      <c r="B145" s="393" t="s">
        <v>630</v>
      </c>
      <c r="C145" s="261">
        <v>11.116237043201556</v>
      </c>
      <c r="D145" s="262">
        <v>7.6794872975386967</v>
      </c>
      <c r="E145" s="261">
        <v>8.9402658419313674</v>
      </c>
      <c r="F145" s="261">
        <v>7.4440910290650608</v>
      </c>
    </row>
    <row r="146" spans="2:6" x14ac:dyDescent="0.25">
      <c r="B146" s="393" t="s">
        <v>631</v>
      </c>
      <c r="C146" s="261">
        <v>11.369518393552983</v>
      </c>
      <c r="D146" s="262">
        <v>7.6794872975386967</v>
      </c>
      <c r="E146" s="261">
        <v>10.478194370505571</v>
      </c>
      <c r="F146" s="261">
        <v>8.4596010432464102</v>
      </c>
    </row>
    <row r="147" spans="2:6" x14ac:dyDescent="0.25">
      <c r="B147" s="393" t="s">
        <v>632</v>
      </c>
      <c r="C147" s="261">
        <v>10.48504383677022</v>
      </c>
      <c r="D147" s="262">
        <v>7.6794872975386967</v>
      </c>
      <c r="E147" s="261">
        <v>9.083918506688299</v>
      </c>
      <c r="F147" s="261">
        <v>7.4888271530378061</v>
      </c>
    </row>
    <row r="148" spans="2:6" x14ac:dyDescent="0.25">
      <c r="B148" s="393" t="s">
        <v>633</v>
      </c>
      <c r="C148" s="261">
        <v>10.48504383677022</v>
      </c>
      <c r="D148" s="262">
        <v>7.6794872975386967</v>
      </c>
      <c r="E148" s="261">
        <v>9.252921641696453</v>
      </c>
      <c r="F148" s="261">
        <v>7.4440910290650608</v>
      </c>
    </row>
    <row r="149" spans="2:6" x14ac:dyDescent="0.25">
      <c r="B149" s="393" t="s">
        <v>634</v>
      </c>
      <c r="C149" s="261">
        <v>11.58259635495974</v>
      </c>
      <c r="D149" s="262">
        <v>7.6794872975386967</v>
      </c>
      <c r="E149" s="261">
        <v>10.199339197742118</v>
      </c>
      <c r="F149" s="261">
        <v>8.4596010432464102</v>
      </c>
    </row>
    <row r="150" spans="2:6" x14ac:dyDescent="0.25">
      <c r="B150" s="393" t="s">
        <v>635</v>
      </c>
      <c r="C150" s="261">
        <v>9.1221489515458707</v>
      </c>
      <c r="D150" s="262">
        <v>7.6794872975386967</v>
      </c>
      <c r="E150" s="261">
        <v>9.2360213281956369</v>
      </c>
      <c r="F150" s="261">
        <v>7.4888271530378061</v>
      </c>
    </row>
    <row r="151" spans="2:6" x14ac:dyDescent="0.25">
      <c r="B151" s="393" t="s">
        <v>636</v>
      </c>
      <c r="C151" s="261">
        <v>11.23684721003557</v>
      </c>
      <c r="D151" s="262">
        <v>7.6794872975386967</v>
      </c>
      <c r="E151" s="261">
        <v>8.737462079921583</v>
      </c>
      <c r="F151" s="261">
        <v>7.1085700992694596</v>
      </c>
    </row>
    <row r="152" spans="2:6" x14ac:dyDescent="0.25">
      <c r="B152" s="393" t="s">
        <v>637</v>
      </c>
      <c r="C152" s="261">
        <v>11.1966438210909</v>
      </c>
      <c r="D152" s="262">
        <v>7.6794872975386967</v>
      </c>
      <c r="E152" s="261">
        <v>10.495094684006389</v>
      </c>
      <c r="F152" s="261">
        <v>8.4596010432464102</v>
      </c>
    </row>
    <row r="153" spans="2:6" ht="15.5" x14ac:dyDescent="0.35">
      <c r="B153" s="202"/>
    </row>
    <row r="154" spans="2:6" ht="13" x14ac:dyDescent="0.3">
      <c r="B154" s="3" t="s">
        <v>638</v>
      </c>
      <c r="C154" s="36"/>
      <c r="D154" s="36"/>
      <c r="E154" s="36"/>
    </row>
    <row r="155" spans="2:6" x14ac:dyDescent="0.25">
      <c r="B155" s="13" t="s">
        <v>639</v>
      </c>
      <c r="C155" s="36"/>
      <c r="D155" s="36"/>
      <c r="E155" s="36"/>
    </row>
    <row r="156" spans="2:6" ht="13" x14ac:dyDescent="0.3">
      <c r="B156" s="409" t="s">
        <v>185</v>
      </c>
      <c r="C156" s="409" t="s">
        <v>584</v>
      </c>
      <c r="D156" s="409" t="s">
        <v>585</v>
      </c>
      <c r="E156" s="409" t="s">
        <v>586</v>
      </c>
      <c r="F156" s="409" t="s">
        <v>587</v>
      </c>
    </row>
    <row r="157" spans="2:6" x14ac:dyDescent="0.25">
      <c r="B157" s="393" t="s">
        <v>588</v>
      </c>
      <c r="C157" s="261">
        <v>8.7409912630349886</v>
      </c>
      <c r="D157" s="262">
        <v>8.4220864508338842</v>
      </c>
      <c r="E157" s="261">
        <v>8.5679540991331766</v>
      </c>
      <c r="F157" s="261">
        <v>7.8210879137988272</v>
      </c>
    </row>
    <row r="158" spans="2:6" x14ac:dyDescent="0.25">
      <c r="B158" s="393" t="s">
        <v>589</v>
      </c>
      <c r="C158" s="261">
        <v>7.9357410315255459</v>
      </c>
      <c r="D158" s="262">
        <v>8.4220864508338842</v>
      </c>
      <c r="E158" s="261">
        <v>9.9076705582703646</v>
      </c>
      <c r="F158" s="261">
        <v>8.8880271905009494</v>
      </c>
    </row>
    <row r="159" spans="2:6" x14ac:dyDescent="0.25">
      <c r="B159" s="393" t="s">
        <v>590</v>
      </c>
      <c r="C159" s="261">
        <v>11.748600877722751</v>
      </c>
      <c r="D159" s="262">
        <v>8.4220864508338842</v>
      </c>
      <c r="E159" s="261">
        <v>9.6895771812015195</v>
      </c>
      <c r="F159" s="261">
        <v>8.8880271905009494</v>
      </c>
    </row>
    <row r="160" spans="2:6" x14ac:dyDescent="0.25">
      <c r="B160" s="393" t="s">
        <v>591</v>
      </c>
      <c r="C160" s="261">
        <v>8.5678624632604574</v>
      </c>
      <c r="D160" s="262">
        <v>8.4220864508338842</v>
      </c>
      <c r="E160" s="261">
        <v>8.4744855089608144</v>
      </c>
      <c r="F160" s="261">
        <v>7.8210879137988272</v>
      </c>
    </row>
    <row r="161" spans="2:6" x14ac:dyDescent="0.25">
      <c r="B161" s="393" t="s">
        <v>592</v>
      </c>
      <c r="C161" s="261">
        <v>11.502999557112373</v>
      </c>
      <c r="D161" s="262">
        <v>8.4220864508338842</v>
      </c>
      <c r="E161" s="261">
        <v>9.4325385582275239</v>
      </c>
      <c r="F161" s="261">
        <v>8.8880271905009494</v>
      </c>
    </row>
    <row r="162" spans="2:6" x14ac:dyDescent="0.25">
      <c r="B162" s="393" t="s">
        <v>593</v>
      </c>
      <c r="C162" s="261">
        <v>11.929782179812376</v>
      </c>
      <c r="D162" s="262">
        <v>8.4220864508338842</v>
      </c>
      <c r="E162" s="261">
        <v>9.3312809188741319</v>
      </c>
      <c r="F162" s="261">
        <v>8.8880271905009494</v>
      </c>
    </row>
    <row r="163" spans="2:6" x14ac:dyDescent="0.25">
      <c r="B163" s="393" t="s">
        <v>594</v>
      </c>
      <c r="C163" s="261">
        <v>10.488384265410476</v>
      </c>
      <c r="D163" s="262">
        <v>8.4220864508338842</v>
      </c>
      <c r="E163" s="261">
        <v>8.5991102958572974</v>
      </c>
      <c r="F163" s="261">
        <v>7.8680896440500216</v>
      </c>
    </row>
    <row r="164" spans="2:6" x14ac:dyDescent="0.25">
      <c r="B164" s="393" t="s">
        <v>595</v>
      </c>
      <c r="C164" s="261">
        <v>10.484358014252928</v>
      </c>
      <c r="D164" s="262">
        <v>8.4220864508338842</v>
      </c>
      <c r="E164" s="261">
        <v>8.3810169187884522</v>
      </c>
      <c r="F164" s="261">
        <v>7.8680896440500216</v>
      </c>
    </row>
    <row r="165" spans="2:6" x14ac:dyDescent="0.25">
      <c r="B165" s="393" t="s">
        <v>596</v>
      </c>
      <c r="C165" s="261">
        <v>10.774248097596328</v>
      </c>
      <c r="D165" s="262">
        <v>8.4220864508338842</v>
      </c>
      <c r="E165" s="261">
        <v>8.5757431483142064</v>
      </c>
      <c r="F165" s="261">
        <v>7.8210879137988272</v>
      </c>
    </row>
    <row r="166" spans="2:6" x14ac:dyDescent="0.25">
      <c r="B166" s="393" t="s">
        <v>597</v>
      </c>
      <c r="C166" s="261">
        <v>10.899061883480291</v>
      </c>
      <c r="D166" s="262">
        <v>8.4220864508338842</v>
      </c>
      <c r="E166" s="261">
        <v>8.5445869515900874</v>
      </c>
      <c r="F166" s="261">
        <v>7.8210879137988272</v>
      </c>
    </row>
    <row r="167" spans="2:6" x14ac:dyDescent="0.25">
      <c r="B167" s="393" t="s">
        <v>598</v>
      </c>
      <c r="C167" s="261">
        <v>8.511494947054798</v>
      </c>
      <c r="D167" s="262">
        <v>8.4220864508338842</v>
      </c>
      <c r="E167" s="261">
        <v>9.7674676730118204</v>
      </c>
      <c r="F167" s="261">
        <v>8.8880271905009494</v>
      </c>
    </row>
    <row r="168" spans="2:6" x14ac:dyDescent="0.25">
      <c r="B168" s="393" t="s">
        <v>599</v>
      </c>
      <c r="C168" s="261">
        <v>11.684180859201996</v>
      </c>
      <c r="D168" s="262">
        <v>8.4220864508338842</v>
      </c>
      <c r="E168" s="261">
        <v>9.4792728533137058</v>
      </c>
      <c r="F168" s="261">
        <v>8.8880271905009494</v>
      </c>
    </row>
    <row r="169" spans="2:6" x14ac:dyDescent="0.25">
      <c r="B169" s="393" t="s">
        <v>600</v>
      </c>
      <c r="C169" s="261">
        <v>10.343439223738777</v>
      </c>
      <c r="D169" s="262">
        <v>8.4220864508338842</v>
      </c>
      <c r="E169" s="261">
        <v>7.8591506236594322</v>
      </c>
      <c r="F169" s="261">
        <v>7.4685749369148651</v>
      </c>
    </row>
    <row r="170" spans="2:6" x14ac:dyDescent="0.25">
      <c r="B170" s="393" t="s">
        <v>601</v>
      </c>
      <c r="C170" s="261">
        <v>11.003744413576518</v>
      </c>
      <c r="D170" s="262">
        <v>8.4220864508338842</v>
      </c>
      <c r="E170" s="261">
        <v>7.8980958695645826</v>
      </c>
      <c r="F170" s="261">
        <v>7.4685749369148651</v>
      </c>
    </row>
    <row r="171" spans="2:6" x14ac:dyDescent="0.25">
      <c r="B171" s="393" t="s">
        <v>602</v>
      </c>
      <c r="C171" s="261">
        <v>11.176873213351049</v>
      </c>
      <c r="D171" s="262">
        <v>8.4220864508338842</v>
      </c>
      <c r="E171" s="261">
        <v>7.6877915416767681</v>
      </c>
      <c r="F171" s="261">
        <v>7.4685749369148651</v>
      </c>
    </row>
    <row r="172" spans="2:6" x14ac:dyDescent="0.25">
      <c r="B172" s="393" t="s">
        <v>603</v>
      </c>
      <c r="C172" s="261">
        <v>11.060111929782179</v>
      </c>
      <c r="D172" s="262">
        <v>8.4220864508338842</v>
      </c>
      <c r="E172" s="261">
        <v>7.6254791482285276</v>
      </c>
      <c r="F172" s="261">
        <v>7.4685749369148651</v>
      </c>
    </row>
    <row r="173" spans="2:6" x14ac:dyDescent="0.25">
      <c r="B173" s="393" t="s">
        <v>604</v>
      </c>
      <c r="C173" s="261">
        <v>9.4294802109755604</v>
      </c>
      <c r="D173" s="262">
        <v>8.4220864508338842</v>
      </c>
      <c r="E173" s="261">
        <v>8.4043840663315432</v>
      </c>
      <c r="F173" s="261">
        <v>7.8210879137988272</v>
      </c>
    </row>
    <row r="174" spans="2:6" x14ac:dyDescent="0.25">
      <c r="B174" s="393" t="s">
        <v>605</v>
      </c>
      <c r="C174" s="261">
        <v>8.5356524540000809</v>
      </c>
      <c r="D174" s="262">
        <v>8.4220864508338842</v>
      </c>
      <c r="E174" s="261">
        <v>8.5835321974952379</v>
      </c>
      <c r="F174" s="261">
        <v>7.8210879137988272</v>
      </c>
    </row>
    <row r="175" spans="2:6" x14ac:dyDescent="0.25">
      <c r="B175" s="393" t="s">
        <v>606</v>
      </c>
      <c r="C175" s="261">
        <v>10.44006925151991</v>
      </c>
      <c r="D175" s="262">
        <v>8.4220864508338842</v>
      </c>
      <c r="E175" s="261">
        <v>8.4978526565039054</v>
      </c>
      <c r="F175" s="261">
        <v>7.8680896440500216</v>
      </c>
    </row>
    <row r="176" spans="2:6" x14ac:dyDescent="0.25">
      <c r="B176" s="393" t="s">
        <v>607</v>
      </c>
      <c r="C176" s="261">
        <v>10.363570479526512</v>
      </c>
      <c r="D176" s="262">
        <v>8.4220864508338842</v>
      </c>
      <c r="E176" s="261">
        <v>8.4666964597797847</v>
      </c>
      <c r="F176" s="261">
        <v>7.8680896440500216</v>
      </c>
    </row>
    <row r="177" spans="2:6" x14ac:dyDescent="0.25">
      <c r="B177" s="393" t="s">
        <v>608</v>
      </c>
      <c r="C177" s="261">
        <v>9.8160003221000913</v>
      </c>
      <c r="D177" s="262">
        <v>8.4220864508338842</v>
      </c>
      <c r="E177" s="261">
        <v>8.6302664925814181</v>
      </c>
      <c r="F177" s="261">
        <v>7.8680896440500216</v>
      </c>
    </row>
    <row r="178" spans="2:6" x14ac:dyDescent="0.25">
      <c r="B178" s="393" t="s">
        <v>609</v>
      </c>
      <c r="C178" s="261">
        <v>11.837178403188789</v>
      </c>
      <c r="D178" s="262">
        <v>8.4220864508338842</v>
      </c>
      <c r="E178" s="261">
        <v>7.8591506236594322</v>
      </c>
      <c r="F178" s="261">
        <v>7.4685749369148651</v>
      </c>
    </row>
    <row r="179" spans="2:6" x14ac:dyDescent="0.25">
      <c r="B179" s="393" t="s">
        <v>610</v>
      </c>
      <c r="C179" s="261">
        <v>10.391754237629343</v>
      </c>
      <c r="D179" s="262">
        <v>8.4220864508338842</v>
      </c>
      <c r="E179" s="261">
        <v>7.8046272793922205</v>
      </c>
      <c r="F179" s="261">
        <v>7.4685749369148651</v>
      </c>
    </row>
    <row r="180" spans="2:6" x14ac:dyDescent="0.25">
      <c r="B180" s="393" t="s">
        <v>611</v>
      </c>
      <c r="C180" s="261">
        <v>8.9946450859604621</v>
      </c>
      <c r="D180" s="262">
        <v>8.4220864508338842</v>
      </c>
      <c r="E180" s="261">
        <v>8.5056417056849352</v>
      </c>
      <c r="F180" s="261">
        <v>7.8210879137988272</v>
      </c>
    </row>
    <row r="181" spans="2:6" x14ac:dyDescent="0.25">
      <c r="B181" s="393" t="s">
        <v>612</v>
      </c>
      <c r="C181" s="261">
        <v>9.0993276160566889</v>
      </c>
      <c r="D181" s="262">
        <v>8.4220864508338842</v>
      </c>
      <c r="E181" s="261">
        <v>8.0227206564610665</v>
      </c>
      <c r="F181" s="261">
        <v>7.4685749369148651</v>
      </c>
    </row>
    <row r="182" spans="2:6" x14ac:dyDescent="0.25">
      <c r="B182" s="393" t="s">
        <v>613</v>
      </c>
      <c r="C182" s="261">
        <v>10.891009381165196</v>
      </c>
      <c r="D182" s="262">
        <v>8.4220864508338842</v>
      </c>
      <c r="E182" s="261">
        <v>9.7518895746497609</v>
      </c>
      <c r="F182" s="261">
        <v>8.8880271905009494</v>
      </c>
    </row>
    <row r="183" spans="2:6" x14ac:dyDescent="0.25">
      <c r="B183" s="393" t="s">
        <v>614</v>
      </c>
      <c r="C183" s="261">
        <v>11.080243185569916</v>
      </c>
      <c r="D183" s="262">
        <v>8.4220864508338842</v>
      </c>
      <c r="E183" s="261">
        <v>7.7267367875819195</v>
      </c>
      <c r="F183" s="261">
        <v>7.4685749369148651</v>
      </c>
    </row>
    <row r="184" spans="2:6" x14ac:dyDescent="0.25">
      <c r="B184" s="393" t="s">
        <v>615</v>
      </c>
      <c r="C184" s="261">
        <v>11.583524580263315</v>
      </c>
      <c r="D184" s="262">
        <v>8.4220864508338842</v>
      </c>
      <c r="E184" s="261">
        <v>9.6428428861153392</v>
      </c>
      <c r="F184" s="261">
        <v>8.8880271905009494</v>
      </c>
    </row>
    <row r="185" spans="2:6" x14ac:dyDescent="0.25">
      <c r="B185" s="393" t="s">
        <v>616</v>
      </c>
      <c r="C185" s="261">
        <v>10.484358014252928</v>
      </c>
      <c r="D185" s="262">
        <v>8.4220864508338842</v>
      </c>
      <c r="E185" s="261">
        <v>8.5445869515900874</v>
      </c>
      <c r="F185" s="261">
        <v>7.8680896440500216</v>
      </c>
    </row>
    <row r="186" spans="2:6" x14ac:dyDescent="0.25">
      <c r="B186" s="393" t="s">
        <v>617</v>
      </c>
      <c r="C186" s="261">
        <v>9.8804203406208462</v>
      </c>
      <c r="D186" s="262">
        <v>8.4220864508338842</v>
      </c>
      <c r="E186" s="261">
        <v>8.4199621646936027</v>
      </c>
      <c r="F186" s="261">
        <v>7.8680896440500216</v>
      </c>
    </row>
    <row r="187" spans="2:6" x14ac:dyDescent="0.25">
      <c r="B187" s="393" t="s">
        <v>618</v>
      </c>
      <c r="C187" s="261">
        <v>11.974070942545396</v>
      </c>
      <c r="D187" s="262">
        <v>8.4220864508338842</v>
      </c>
      <c r="E187" s="261">
        <v>9.6116866893912185</v>
      </c>
      <c r="F187" s="261">
        <v>8.8880271905009494</v>
      </c>
    </row>
    <row r="188" spans="2:6" x14ac:dyDescent="0.25">
      <c r="B188" s="393" t="s">
        <v>619</v>
      </c>
      <c r="C188" s="261">
        <v>11.140636952933123</v>
      </c>
      <c r="D188" s="262">
        <v>8.4220864508338842</v>
      </c>
      <c r="E188" s="261">
        <v>8.4433293122366955</v>
      </c>
      <c r="F188" s="261">
        <v>7.8680896440500216</v>
      </c>
    </row>
    <row r="189" spans="2:6" x14ac:dyDescent="0.25">
      <c r="B189" s="393" t="s">
        <v>620</v>
      </c>
      <c r="C189" s="261">
        <v>10.92724564158312</v>
      </c>
      <c r="D189" s="262">
        <v>8.4220864508338842</v>
      </c>
      <c r="E189" s="261">
        <v>8.5523760007711171</v>
      </c>
      <c r="F189" s="261">
        <v>7.8210879137988272</v>
      </c>
    </row>
    <row r="190" spans="2:6" x14ac:dyDescent="0.25">
      <c r="B190" s="393" t="s">
        <v>621</v>
      </c>
      <c r="C190" s="261">
        <v>10.516568023513306</v>
      </c>
      <c r="D190" s="262">
        <v>8.4220864508338842</v>
      </c>
      <c r="E190" s="261">
        <v>7.913673967926643</v>
      </c>
      <c r="F190" s="261">
        <v>7.4685749369148651</v>
      </c>
    </row>
    <row r="191" spans="2:6" x14ac:dyDescent="0.25">
      <c r="B191" s="393" t="s">
        <v>622</v>
      </c>
      <c r="C191" s="261">
        <v>10.536699279301043</v>
      </c>
      <c r="D191" s="262">
        <v>8.4220864508338842</v>
      </c>
      <c r="E191" s="261">
        <v>7.9448301646507637</v>
      </c>
      <c r="F191" s="261">
        <v>7.4685749369148651</v>
      </c>
    </row>
    <row r="192" spans="2:6" x14ac:dyDescent="0.25">
      <c r="B192" s="393" t="s">
        <v>623</v>
      </c>
      <c r="C192" s="261">
        <v>9.6831340339010339</v>
      </c>
      <c r="D192" s="262">
        <v>8.4220864508338842</v>
      </c>
      <c r="E192" s="261">
        <v>8.357649771245363</v>
      </c>
      <c r="F192" s="261">
        <v>7.8210879137988272</v>
      </c>
    </row>
    <row r="193" spans="2:6" x14ac:dyDescent="0.25">
      <c r="B193" s="393" t="s">
        <v>624</v>
      </c>
      <c r="C193" s="261">
        <v>10.621250553609533</v>
      </c>
      <c r="D193" s="262">
        <v>8.4220864508338842</v>
      </c>
      <c r="E193" s="261">
        <v>9.5805304926670978</v>
      </c>
      <c r="F193" s="261">
        <v>8.8880271905009494</v>
      </c>
    </row>
    <row r="194" spans="2:6" x14ac:dyDescent="0.25">
      <c r="B194" s="393" t="s">
        <v>625</v>
      </c>
      <c r="C194" s="261">
        <v>10.488384265410476</v>
      </c>
      <c r="D194" s="262">
        <v>8.4220864508338842</v>
      </c>
      <c r="E194" s="261">
        <v>8.3498607220643333</v>
      </c>
      <c r="F194" s="261">
        <v>7.8680896440500216</v>
      </c>
    </row>
    <row r="195" spans="2:6" x14ac:dyDescent="0.25">
      <c r="B195" s="393" t="s">
        <v>626</v>
      </c>
      <c r="C195" s="261">
        <v>10.142126665861415</v>
      </c>
      <c r="D195" s="262">
        <v>8.4220864508338842</v>
      </c>
      <c r="E195" s="261">
        <v>8.5757431483142064</v>
      </c>
      <c r="F195" s="261">
        <v>7.8680896440500216</v>
      </c>
    </row>
    <row r="196" spans="2:6" x14ac:dyDescent="0.25">
      <c r="B196" s="393" t="s">
        <v>627</v>
      </c>
      <c r="C196" s="261">
        <v>9.5703990014897116</v>
      </c>
      <c r="D196" s="262">
        <v>8.4220864508338842</v>
      </c>
      <c r="E196" s="261">
        <v>8.5290088532280262</v>
      </c>
      <c r="F196" s="261">
        <v>7.8210879137988272</v>
      </c>
    </row>
    <row r="197" spans="2:6" x14ac:dyDescent="0.25">
      <c r="B197" s="393" t="s">
        <v>628</v>
      </c>
      <c r="C197" s="261">
        <v>10.963481902001046</v>
      </c>
      <c r="D197" s="262">
        <v>8.4220864508338842</v>
      </c>
      <c r="E197" s="261">
        <v>7.8825177712025223</v>
      </c>
      <c r="F197" s="261">
        <v>7.4685749369148651</v>
      </c>
    </row>
    <row r="198" spans="2:6" x14ac:dyDescent="0.25">
      <c r="B198" s="393" t="s">
        <v>629</v>
      </c>
      <c r="C198" s="261">
        <v>9.5502677457019765</v>
      </c>
      <c r="D198" s="262">
        <v>8.4220864508338842</v>
      </c>
      <c r="E198" s="261">
        <v>8.4511183614177252</v>
      </c>
      <c r="F198" s="261">
        <v>7.8210879137988272</v>
      </c>
    </row>
    <row r="199" spans="2:6" x14ac:dyDescent="0.25">
      <c r="B199" s="393" t="s">
        <v>630</v>
      </c>
      <c r="C199" s="261">
        <v>11.140636952933123</v>
      </c>
      <c r="D199" s="262">
        <v>8.4220864508338842</v>
      </c>
      <c r="E199" s="261">
        <v>8.2018687876247593</v>
      </c>
      <c r="F199" s="261">
        <v>7.8210879137988272</v>
      </c>
    </row>
    <row r="200" spans="2:6" x14ac:dyDescent="0.25">
      <c r="B200" s="393" t="s">
        <v>631</v>
      </c>
      <c r="C200" s="261">
        <v>11.33389700849539</v>
      </c>
      <c r="D200" s="262">
        <v>8.4220864508338842</v>
      </c>
      <c r="E200" s="261">
        <v>9.6116866893912185</v>
      </c>
      <c r="F200" s="261">
        <v>8.8880271905009494</v>
      </c>
    </row>
    <row r="201" spans="2:6" x14ac:dyDescent="0.25">
      <c r="B201" s="393" t="s">
        <v>632</v>
      </c>
      <c r="C201" s="261">
        <v>10.500463018883117</v>
      </c>
      <c r="D201" s="262">
        <v>8.4220864508338842</v>
      </c>
      <c r="E201" s="261">
        <v>8.3732278696074225</v>
      </c>
      <c r="F201" s="261">
        <v>7.8680896440500216</v>
      </c>
    </row>
    <row r="202" spans="2:6" x14ac:dyDescent="0.25">
      <c r="B202" s="393" t="s">
        <v>633</v>
      </c>
      <c r="C202" s="261">
        <v>10.403832991101984</v>
      </c>
      <c r="D202" s="262">
        <v>8.4220864508338842</v>
      </c>
      <c r="E202" s="261">
        <v>8.458907410598755</v>
      </c>
      <c r="F202" s="261">
        <v>7.8210879137988272</v>
      </c>
    </row>
    <row r="203" spans="2:6" x14ac:dyDescent="0.25">
      <c r="B203" s="393" t="s">
        <v>634</v>
      </c>
      <c r="C203" s="261">
        <v>11.680154608044448</v>
      </c>
      <c r="D203" s="262">
        <v>8.4220864508338842</v>
      </c>
      <c r="E203" s="261">
        <v>9.3780152139603139</v>
      </c>
      <c r="F203" s="261">
        <v>8.8880271905009494</v>
      </c>
    </row>
    <row r="204" spans="2:6" x14ac:dyDescent="0.25">
      <c r="B204" s="393" t="s">
        <v>635</v>
      </c>
      <c r="C204" s="261">
        <v>9.1033538672142367</v>
      </c>
      <c r="D204" s="262">
        <v>8.4220864508338842</v>
      </c>
      <c r="E204" s="261">
        <v>8.4900636073228757</v>
      </c>
      <c r="F204" s="261">
        <v>7.8680896440500216</v>
      </c>
    </row>
    <row r="205" spans="2:6" x14ac:dyDescent="0.25">
      <c r="B205" s="393" t="s">
        <v>636</v>
      </c>
      <c r="C205" s="261">
        <v>11.003744413576518</v>
      </c>
      <c r="D205" s="262">
        <v>8.4220864508338842</v>
      </c>
      <c r="E205" s="261">
        <v>7.9604082630128241</v>
      </c>
      <c r="F205" s="261">
        <v>7.4685749369148651</v>
      </c>
    </row>
    <row r="206" spans="2:6" x14ac:dyDescent="0.25">
      <c r="B206" s="393" t="s">
        <v>637</v>
      </c>
      <c r="C206" s="261">
        <v>10.919193139268026</v>
      </c>
      <c r="D206" s="262">
        <v>8.4220864508338842</v>
      </c>
      <c r="E206" s="261">
        <v>9.7129443287446104</v>
      </c>
      <c r="F206" s="261">
        <v>8.8880271905009494</v>
      </c>
    </row>
    <row r="207" spans="2:6" ht="15.5" x14ac:dyDescent="0.35">
      <c r="B207" s="202"/>
    </row>
    <row r="208" spans="2:6" ht="13" x14ac:dyDescent="0.3">
      <c r="B208" s="3" t="s">
        <v>640</v>
      </c>
      <c r="C208" s="36"/>
      <c r="D208" s="36"/>
      <c r="E208" s="36"/>
    </row>
    <row r="209" spans="2:6" x14ac:dyDescent="0.25">
      <c r="B209" s="13" t="s">
        <v>641</v>
      </c>
      <c r="C209" s="36"/>
      <c r="D209" s="36"/>
      <c r="E209" s="36"/>
    </row>
    <row r="210" spans="2:6" ht="13" x14ac:dyDescent="0.3">
      <c r="B210" s="409" t="s">
        <v>185</v>
      </c>
      <c r="C210" s="409" t="s">
        <v>584</v>
      </c>
      <c r="D210" s="409" t="s">
        <v>585</v>
      </c>
      <c r="E210" s="409" t="s">
        <v>586</v>
      </c>
      <c r="F210" s="409" t="s">
        <v>587</v>
      </c>
    </row>
    <row r="211" spans="2:6" x14ac:dyDescent="0.25">
      <c r="B211" s="393" t="s">
        <v>588</v>
      </c>
      <c r="C211" s="261">
        <v>8.6564399887264969</v>
      </c>
      <c r="D211" s="262">
        <v>8.4422671691665538</v>
      </c>
      <c r="E211" s="261">
        <v>8.5679540991331766</v>
      </c>
      <c r="F211" s="261">
        <v>7.8210879137988272</v>
      </c>
    </row>
    <row r="212" spans="2:6" x14ac:dyDescent="0.25">
      <c r="B212" s="393" t="s">
        <v>589</v>
      </c>
      <c r="C212" s="261">
        <v>7.633772194709505</v>
      </c>
      <c r="D212" s="262">
        <v>8.4422671691665538</v>
      </c>
      <c r="E212" s="261">
        <v>9.9388267549944853</v>
      </c>
      <c r="F212" s="261">
        <v>8.8880271905009494</v>
      </c>
    </row>
    <row r="213" spans="2:6" x14ac:dyDescent="0.25">
      <c r="B213" s="393" t="s">
        <v>590</v>
      </c>
      <c r="C213" s="261">
        <v>11.531183315215202</v>
      </c>
      <c r="D213" s="262">
        <v>8.4422671691665538</v>
      </c>
      <c r="E213" s="261">
        <v>9.5883195418481275</v>
      </c>
      <c r="F213" s="261">
        <v>8.8880271905009494</v>
      </c>
    </row>
    <row r="214" spans="2:6" x14ac:dyDescent="0.25">
      <c r="B214" s="393" t="s">
        <v>591</v>
      </c>
      <c r="C214" s="261">
        <v>7.9518460361557342</v>
      </c>
      <c r="D214" s="262">
        <v>8.4422671691665538</v>
      </c>
      <c r="E214" s="261">
        <v>8.5290088532280262</v>
      </c>
      <c r="F214" s="261">
        <v>7.8210879137988272</v>
      </c>
    </row>
    <row r="215" spans="2:6" x14ac:dyDescent="0.25">
      <c r="B215" s="393" t="s">
        <v>592</v>
      </c>
      <c r="C215" s="261">
        <v>11.321818255022748</v>
      </c>
      <c r="D215" s="262">
        <v>8.4422671691665538</v>
      </c>
      <c r="E215" s="261">
        <v>9.4481166565895851</v>
      </c>
      <c r="F215" s="261">
        <v>8.8880271905009494</v>
      </c>
    </row>
    <row r="216" spans="2:6" x14ac:dyDescent="0.25">
      <c r="B216" s="393" t="s">
        <v>593</v>
      </c>
      <c r="C216" s="261">
        <v>11.720417119619922</v>
      </c>
      <c r="D216" s="262">
        <v>8.4422671691665538</v>
      </c>
      <c r="E216" s="261">
        <v>9.2923356729689814</v>
      </c>
      <c r="F216" s="261">
        <v>8.8880271905009494</v>
      </c>
    </row>
    <row r="217" spans="2:6" x14ac:dyDescent="0.25">
      <c r="B217" s="393" t="s">
        <v>594</v>
      </c>
      <c r="C217" s="261">
        <v>10.625276804767081</v>
      </c>
      <c r="D217" s="262">
        <v>8.4422671691665538</v>
      </c>
      <c r="E217" s="261">
        <v>8.6380555417624478</v>
      </c>
      <c r="F217" s="261">
        <v>7.8680896440500216</v>
      </c>
    </row>
    <row r="218" spans="2:6" x14ac:dyDescent="0.25">
      <c r="B218" s="393" t="s">
        <v>595</v>
      </c>
      <c r="C218" s="261">
        <v>10.295124209848209</v>
      </c>
      <c r="D218" s="262">
        <v>8.4422671691665538</v>
      </c>
      <c r="E218" s="261">
        <v>8.4511183614177252</v>
      </c>
      <c r="F218" s="261">
        <v>7.8680896440500216</v>
      </c>
    </row>
    <row r="219" spans="2:6" x14ac:dyDescent="0.25">
      <c r="B219" s="393" t="s">
        <v>596</v>
      </c>
      <c r="C219" s="261">
        <v>10.472279260780287</v>
      </c>
      <c r="D219" s="262">
        <v>8.4422671691665538</v>
      </c>
      <c r="E219" s="261">
        <v>8.5991102958572974</v>
      </c>
      <c r="F219" s="261">
        <v>7.8210879137988272</v>
      </c>
    </row>
    <row r="220" spans="2:6" x14ac:dyDescent="0.25">
      <c r="B220" s="393" t="s">
        <v>597</v>
      </c>
      <c r="C220" s="261">
        <v>10.508515521198211</v>
      </c>
      <c r="D220" s="262">
        <v>8.4422671691665538</v>
      </c>
      <c r="E220" s="261">
        <v>8.5367979024090559</v>
      </c>
      <c r="F220" s="261">
        <v>7.8210879137988272</v>
      </c>
    </row>
    <row r="221" spans="2:6" x14ac:dyDescent="0.25">
      <c r="B221" s="393" t="s">
        <v>598</v>
      </c>
      <c r="C221" s="261">
        <v>8.4591536820066828</v>
      </c>
      <c r="D221" s="262">
        <v>8.4422671691665538</v>
      </c>
      <c r="E221" s="261">
        <v>9.7908348205549132</v>
      </c>
      <c r="F221" s="261">
        <v>8.8880271905009494</v>
      </c>
    </row>
    <row r="222" spans="2:6" x14ac:dyDescent="0.25">
      <c r="B222" s="393" t="s">
        <v>599</v>
      </c>
      <c r="C222" s="261">
        <v>11.474815799009541</v>
      </c>
      <c r="D222" s="262">
        <v>8.4422671691665538</v>
      </c>
      <c r="E222" s="261">
        <v>9.4792728533137058</v>
      </c>
      <c r="F222" s="261">
        <v>8.8880271905009494</v>
      </c>
    </row>
    <row r="223" spans="2:6" x14ac:dyDescent="0.25">
      <c r="B223" s="393" t="s">
        <v>600</v>
      </c>
      <c r="C223" s="261">
        <v>10.25083544711519</v>
      </c>
      <c r="D223" s="262">
        <v>8.4422671691665538</v>
      </c>
      <c r="E223" s="261">
        <v>7.8980958695645826</v>
      </c>
      <c r="F223" s="261">
        <v>7.4685749369148651</v>
      </c>
    </row>
    <row r="224" spans="2:6" x14ac:dyDescent="0.25">
      <c r="B224" s="393" t="s">
        <v>601</v>
      </c>
      <c r="C224" s="261">
        <v>10.971534404316142</v>
      </c>
      <c r="D224" s="262">
        <v>8.4422671691665538</v>
      </c>
      <c r="E224" s="261">
        <v>7.9292520662887043</v>
      </c>
      <c r="F224" s="261">
        <v>7.4685749369148651</v>
      </c>
    </row>
    <row r="225" spans="2:6" x14ac:dyDescent="0.25">
      <c r="B225" s="393" t="s">
        <v>602</v>
      </c>
      <c r="C225" s="261">
        <v>11.084269436727462</v>
      </c>
      <c r="D225" s="262">
        <v>8.4422671691665538</v>
      </c>
      <c r="E225" s="261">
        <v>7.664424394133678</v>
      </c>
      <c r="F225" s="261">
        <v>7.4685749369148651</v>
      </c>
    </row>
    <row r="226" spans="2:6" x14ac:dyDescent="0.25">
      <c r="B226" s="393" t="s">
        <v>603</v>
      </c>
      <c r="C226" s="261">
        <v>11.007770664734066</v>
      </c>
      <c r="D226" s="262">
        <v>8.4422671691665538</v>
      </c>
      <c r="E226" s="261">
        <v>7.6254791482285276</v>
      </c>
      <c r="F226" s="261">
        <v>7.4685749369148651</v>
      </c>
    </row>
    <row r="227" spans="2:6" x14ac:dyDescent="0.25">
      <c r="B227" s="393" t="s">
        <v>604</v>
      </c>
      <c r="C227" s="261">
        <v>9.2040101461529158</v>
      </c>
      <c r="D227" s="262">
        <v>8.4422671691665538</v>
      </c>
      <c r="E227" s="261">
        <v>8.357649771245363</v>
      </c>
      <c r="F227" s="261">
        <v>7.8210879137988272</v>
      </c>
    </row>
    <row r="228" spans="2:6" x14ac:dyDescent="0.25">
      <c r="B228" s="393" t="s">
        <v>605</v>
      </c>
      <c r="C228" s="261">
        <v>8.314208640334984</v>
      </c>
      <c r="D228" s="262">
        <v>8.4422671691665538</v>
      </c>
      <c r="E228" s="261">
        <v>8.5757431483142064</v>
      </c>
      <c r="F228" s="261">
        <v>7.8210879137988272</v>
      </c>
    </row>
    <row r="229" spans="2:6" x14ac:dyDescent="0.25">
      <c r="B229" s="393" t="s">
        <v>606</v>
      </c>
      <c r="C229" s="261">
        <v>10.307202963320851</v>
      </c>
      <c r="D229" s="262">
        <v>8.4422671691665538</v>
      </c>
      <c r="E229" s="261">
        <v>8.4666964597797847</v>
      </c>
      <c r="F229" s="261">
        <v>7.8680896440500216</v>
      </c>
    </row>
    <row r="230" spans="2:6" x14ac:dyDescent="0.25">
      <c r="B230" s="393" t="s">
        <v>607</v>
      </c>
      <c r="C230" s="261">
        <v>10.270966702902927</v>
      </c>
      <c r="D230" s="262">
        <v>8.4422671691665538</v>
      </c>
      <c r="E230" s="261">
        <v>8.4199621646936027</v>
      </c>
      <c r="F230" s="261">
        <v>7.8680896440500216</v>
      </c>
    </row>
    <row r="231" spans="2:6" x14ac:dyDescent="0.25">
      <c r="B231" s="393" t="s">
        <v>608</v>
      </c>
      <c r="C231" s="261">
        <v>9.7475540524217887</v>
      </c>
      <c r="D231" s="262">
        <v>8.4422671691665538</v>
      </c>
      <c r="E231" s="261">
        <v>8.5523760007711171</v>
      </c>
      <c r="F231" s="261">
        <v>7.8680896440500216</v>
      </c>
    </row>
    <row r="232" spans="2:6" x14ac:dyDescent="0.25">
      <c r="B232" s="393" t="s">
        <v>609</v>
      </c>
      <c r="C232" s="261">
        <v>11.680154608044448</v>
      </c>
      <c r="D232" s="262">
        <v>8.4422671691665538</v>
      </c>
      <c r="E232" s="261">
        <v>7.8591506236594322</v>
      </c>
      <c r="F232" s="261">
        <v>7.4685749369148651</v>
      </c>
    </row>
    <row r="233" spans="2:6" x14ac:dyDescent="0.25">
      <c r="B233" s="393" t="s">
        <v>610</v>
      </c>
      <c r="C233" s="261">
        <v>10.351491726053871</v>
      </c>
      <c r="D233" s="262">
        <v>8.4422671691665538</v>
      </c>
      <c r="E233" s="261">
        <v>7.8435725252973718</v>
      </c>
      <c r="F233" s="261">
        <v>7.4685749369148651</v>
      </c>
    </row>
    <row r="234" spans="2:6" x14ac:dyDescent="0.25">
      <c r="B234" s="393" t="s">
        <v>611</v>
      </c>
      <c r="C234" s="261">
        <v>8.6202037283085726</v>
      </c>
      <c r="D234" s="262">
        <v>8.4422671691665538</v>
      </c>
      <c r="E234" s="261">
        <v>8.5134307548659649</v>
      </c>
      <c r="F234" s="261">
        <v>7.8210879137988272</v>
      </c>
    </row>
    <row r="235" spans="2:6" x14ac:dyDescent="0.25">
      <c r="B235" s="393" t="s">
        <v>612</v>
      </c>
      <c r="C235" s="261">
        <v>8.8335950396585741</v>
      </c>
      <c r="D235" s="262">
        <v>8.4422671691665538</v>
      </c>
      <c r="E235" s="261">
        <v>8.0305097056420962</v>
      </c>
      <c r="F235" s="261">
        <v>7.4685749369148651</v>
      </c>
    </row>
    <row r="236" spans="2:6" x14ac:dyDescent="0.25">
      <c r="B236" s="393" t="s">
        <v>613</v>
      </c>
      <c r="C236" s="261">
        <v>10.826589362644441</v>
      </c>
      <c r="D236" s="262">
        <v>8.4422671691665538</v>
      </c>
      <c r="E236" s="261">
        <v>9.7830457713738816</v>
      </c>
      <c r="F236" s="261">
        <v>8.8880271905009494</v>
      </c>
    </row>
    <row r="237" spans="2:6" x14ac:dyDescent="0.25">
      <c r="B237" s="393" t="s">
        <v>614</v>
      </c>
      <c r="C237" s="261">
        <v>10.915166888110479</v>
      </c>
      <c r="D237" s="262">
        <v>8.4422671691665538</v>
      </c>
      <c r="E237" s="261">
        <v>7.6877915416767681</v>
      </c>
      <c r="F237" s="261">
        <v>7.4685749369148651</v>
      </c>
    </row>
    <row r="238" spans="2:6" x14ac:dyDescent="0.25">
      <c r="B238" s="393" t="s">
        <v>615</v>
      </c>
      <c r="C238" s="261">
        <v>11.104400692515199</v>
      </c>
      <c r="D238" s="262">
        <v>8.4422671691665538</v>
      </c>
      <c r="E238" s="261">
        <v>9.6584209844773987</v>
      </c>
      <c r="F238" s="261">
        <v>8.8880271905009494</v>
      </c>
    </row>
    <row r="239" spans="2:6" x14ac:dyDescent="0.25">
      <c r="B239" s="393" t="s">
        <v>616</v>
      </c>
      <c r="C239" s="261">
        <v>10.693723074445384</v>
      </c>
      <c r="D239" s="262">
        <v>8.4422671691665538</v>
      </c>
      <c r="E239" s="261">
        <v>8.4978526565039054</v>
      </c>
      <c r="F239" s="261">
        <v>7.8680896440500216</v>
      </c>
    </row>
    <row r="240" spans="2:6" x14ac:dyDescent="0.25">
      <c r="B240" s="393" t="s">
        <v>617</v>
      </c>
      <c r="C240" s="261">
        <v>9.8804203406208462</v>
      </c>
      <c r="D240" s="262">
        <v>8.4422671691665538</v>
      </c>
      <c r="E240" s="261">
        <v>8.5523760007711171</v>
      </c>
      <c r="F240" s="261">
        <v>7.8680896440500216</v>
      </c>
    </row>
    <row r="241" spans="2:6" x14ac:dyDescent="0.25">
      <c r="B241" s="393" t="s">
        <v>618</v>
      </c>
      <c r="C241" s="261">
        <v>11.929782179812376</v>
      </c>
      <c r="D241" s="262">
        <v>8.4422671691665538</v>
      </c>
      <c r="E241" s="261">
        <v>9.549374295942977</v>
      </c>
      <c r="F241" s="261">
        <v>8.8880271905009494</v>
      </c>
    </row>
    <row r="242" spans="2:6" x14ac:dyDescent="0.25">
      <c r="B242" s="393" t="s">
        <v>619</v>
      </c>
      <c r="C242" s="261">
        <v>11.068164432097273</v>
      </c>
      <c r="D242" s="262">
        <v>8.4422671691665538</v>
      </c>
      <c r="E242" s="261">
        <v>8.4043840663315432</v>
      </c>
      <c r="F242" s="261">
        <v>7.8680896440500216</v>
      </c>
    </row>
    <row r="243" spans="2:6" x14ac:dyDescent="0.25">
      <c r="B243" s="393" t="s">
        <v>620</v>
      </c>
      <c r="C243" s="261">
        <v>10.758143092966138</v>
      </c>
      <c r="D243" s="262">
        <v>8.4422671691665538</v>
      </c>
      <c r="E243" s="261">
        <v>8.5290088532280262</v>
      </c>
      <c r="F243" s="261">
        <v>7.8210879137988272</v>
      </c>
    </row>
    <row r="244" spans="2:6" x14ac:dyDescent="0.25">
      <c r="B244" s="393" t="s">
        <v>621</v>
      </c>
      <c r="C244" s="261">
        <v>10.142126665861415</v>
      </c>
      <c r="D244" s="262">
        <v>8.4422671691665538</v>
      </c>
      <c r="E244" s="261">
        <v>7.9681973121938547</v>
      </c>
      <c r="F244" s="261">
        <v>7.4685749369148651</v>
      </c>
    </row>
    <row r="245" spans="2:6" x14ac:dyDescent="0.25">
      <c r="B245" s="393" t="s">
        <v>622</v>
      </c>
      <c r="C245" s="261">
        <v>10.496436767725569</v>
      </c>
      <c r="D245" s="262">
        <v>8.4422671691665538</v>
      </c>
      <c r="E245" s="261">
        <v>7.9292520662887043</v>
      </c>
      <c r="F245" s="261">
        <v>7.4685749369148651</v>
      </c>
    </row>
    <row r="246" spans="2:6" x14ac:dyDescent="0.25">
      <c r="B246" s="393" t="s">
        <v>623</v>
      </c>
      <c r="C246" s="261">
        <v>9.7233965454765059</v>
      </c>
      <c r="D246" s="262">
        <v>8.4422671691665538</v>
      </c>
      <c r="E246" s="261">
        <v>8.2953373777971215</v>
      </c>
      <c r="F246" s="261">
        <v>7.8210879137988272</v>
      </c>
    </row>
    <row r="247" spans="2:6" x14ac:dyDescent="0.25">
      <c r="B247" s="393" t="s">
        <v>624</v>
      </c>
      <c r="C247" s="261">
        <v>10.572935539718967</v>
      </c>
      <c r="D247" s="262">
        <v>8.4422671691665538</v>
      </c>
      <c r="E247" s="261">
        <v>9.6895771812015195</v>
      </c>
      <c r="F247" s="261">
        <v>8.8880271905009494</v>
      </c>
    </row>
    <row r="248" spans="2:6" x14ac:dyDescent="0.25">
      <c r="B248" s="393" t="s">
        <v>625</v>
      </c>
      <c r="C248" s="261">
        <v>10.387727986471795</v>
      </c>
      <c r="D248" s="262">
        <v>8.4422671691665538</v>
      </c>
      <c r="E248" s="261">
        <v>8.3888059679694837</v>
      </c>
      <c r="F248" s="261">
        <v>7.8680896440500216</v>
      </c>
    </row>
    <row r="249" spans="2:6" x14ac:dyDescent="0.25">
      <c r="B249" s="393" t="s">
        <v>626</v>
      </c>
      <c r="C249" s="261">
        <v>10.142126665861415</v>
      </c>
      <c r="D249" s="262">
        <v>8.4422671691665538</v>
      </c>
      <c r="E249" s="261">
        <v>8.6380555417624478</v>
      </c>
      <c r="F249" s="261">
        <v>7.8680896440500216</v>
      </c>
    </row>
    <row r="250" spans="2:6" x14ac:dyDescent="0.25">
      <c r="B250" s="393" t="s">
        <v>627</v>
      </c>
      <c r="C250" s="261">
        <v>9.6066352619076376</v>
      </c>
      <c r="D250" s="262">
        <v>8.4422671691665538</v>
      </c>
      <c r="E250" s="261">
        <v>8.5523760007711171</v>
      </c>
      <c r="F250" s="261">
        <v>7.8210879137988272</v>
      </c>
    </row>
    <row r="251" spans="2:6" x14ac:dyDescent="0.25">
      <c r="B251" s="393" t="s">
        <v>628</v>
      </c>
      <c r="C251" s="261">
        <v>10.899061883480291</v>
      </c>
      <c r="D251" s="262">
        <v>8.4422671691665538</v>
      </c>
      <c r="E251" s="261">
        <v>7.8513615744784024</v>
      </c>
      <c r="F251" s="261">
        <v>7.4685749369148651</v>
      </c>
    </row>
    <row r="252" spans="2:6" x14ac:dyDescent="0.25">
      <c r="B252" s="393" t="s">
        <v>629</v>
      </c>
      <c r="C252" s="261">
        <v>9.4496114667632956</v>
      </c>
      <c r="D252" s="262">
        <v>8.4422671691665538</v>
      </c>
      <c r="E252" s="261">
        <v>8.5056417056849352</v>
      </c>
      <c r="F252" s="261">
        <v>7.8210879137988272</v>
      </c>
    </row>
    <row r="253" spans="2:6" x14ac:dyDescent="0.25">
      <c r="B253" s="393" t="s">
        <v>630</v>
      </c>
      <c r="C253" s="261">
        <v>11.060111929782179</v>
      </c>
      <c r="D253" s="262">
        <v>8.4422671691665538</v>
      </c>
      <c r="E253" s="261">
        <v>8.1707125909006386</v>
      </c>
      <c r="F253" s="261">
        <v>7.8210879137988272</v>
      </c>
    </row>
    <row r="254" spans="2:6" x14ac:dyDescent="0.25">
      <c r="B254" s="393" t="s">
        <v>631</v>
      </c>
      <c r="C254" s="261">
        <v>11.080243185569916</v>
      </c>
      <c r="D254" s="262">
        <v>8.4422671691665538</v>
      </c>
      <c r="E254" s="261">
        <v>9.6116866893912185</v>
      </c>
      <c r="F254" s="261">
        <v>8.8880271905009494</v>
      </c>
    </row>
    <row r="255" spans="2:6" x14ac:dyDescent="0.25">
      <c r="B255" s="393" t="s">
        <v>632</v>
      </c>
      <c r="C255" s="261">
        <v>10.274992954060474</v>
      </c>
      <c r="D255" s="262">
        <v>8.4422671691665538</v>
      </c>
      <c r="E255" s="261">
        <v>8.3420716728833018</v>
      </c>
      <c r="F255" s="261">
        <v>7.8680896440500216</v>
      </c>
    </row>
    <row r="256" spans="2:6" x14ac:dyDescent="0.25">
      <c r="B256" s="393" t="s">
        <v>633</v>
      </c>
      <c r="C256" s="261">
        <v>10.162257921649152</v>
      </c>
      <c r="D256" s="262">
        <v>8.4422671691665538</v>
      </c>
      <c r="E256" s="261">
        <v>8.4511183614177252</v>
      </c>
      <c r="F256" s="261">
        <v>7.8210879137988272</v>
      </c>
    </row>
    <row r="257" spans="2:6" x14ac:dyDescent="0.25">
      <c r="B257" s="393" t="s">
        <v>634</v>
      </c>
      <c r="C257" s="261">
        <v>11.591577082578411</v>
      </c>
      <c r="D257" s="262">
        <v>8.4422671691665538</v>
      </c>
      <c r="E257" s="261">
        <v>9.3546480664172229</v>
      </c>
      <c r="F257" s="261">
        <v>8.8880271905009494</v>
      </c>
    </row>
    <row r="258" spans="2:6" x14ac:dyDescent="0.25">
      <c r="B258" s="393" t="s">
        <v>635</v>
      </c>
      <c r="C258" s="261">
        <v>8.998671337118008</v>
      </c>
      <c r="D258" s="262">
        <v>8.4422671691665538</v>
      </c>
      <c r="E258" s="261">
        <v>8.4978526565039054</v>
      </c>
      <c r="F258" s="261">
        <v>7.8680896440500216</v>
      </c>
    </row>
    <row r="259" spans="2:6" x14ac:dyDescent="0.25">
      <c r="B259" s="393" t="s">
        <v>636</v>
      </c>
      <c r="C259" s="261">
        <v>10.951403148528405</v>
      </c>
      <c r="D259" s="262">
        <v>8.4422671691665538</v>
      </c>
      <c r="E259" s="261">
        <v>8.0227206564610665</v>
      </c>
      <c r="F259" s="261">
        <v>7.4685749369148651</v>
      </c>
    </row>
    <row r="260" spans="2:6" x14ac:dyDescent="0.25">
      <c r="B260" s="393" t="s">
        <v>637</v>
      </c>
      <c r="C260" s="261">
        <v>10.850746869589724</v>
      </c>
      <c r="D260" s="262">
        <v>8.4422671691665538</v>
      </c>
      <c r="E260" s="261">
        <v>9.6895771812015195</v>
      </c>
      <c r="F260" s="261">
        <v>8.8880271905009494</v>
      </c>
    </row>
    <row r="261" spans="2:6" ht="13" x14ac:dyDescent="0.3">
      <c r="B261" s="3"/>
      <c r="C261" s="36"/>
      <c r="D261" s="36"/>
      <c r="E261" s="36"/>
    </row>
    <row r="262" spans="2:6" ht="13" x14ac:dyDescent="0.3">
      <c r="B262" s="3" t="s">
        <v>642</v>
      </c>
      <c r="C262" s="36"/>
      <c r="D262" s="36"/>
      <c r="E262" s="36"/>
    </row>
    <row r="263" spans="2:6" x14ac:dyDescent="0.25">
      <c r="B263" s="13" t="s">
        <v>643</v>
      </c>
      <c r="C263" s="36"/>
      <c r="D263" s="36"/>
      <c r="E263" s="36"/>
    </row>
    <row r="264" spans="2:6" ht="13" x14ac:dyDescent="0.3">
      <c r="B264" s="409" t="s">
        <v>185</v>
      </c>
      <c r="C264" s="409" t="s">
        <v>584</v>
      </c>
      <c r="D264" s="409" t="s">
        <v>585</v>
      </c>
      <c r="E264" s="409" t="s">
        <v>586</v>
      </c>
      <c r="F264" s="409" t="s">
        <v>587</v>
      </c>
    </row>
    <row r="265" spans="2:6" x14ac:dyDescent="0.25">
      <c r="B265" s="393" t="s">
        <v>588</v>
      </c>
      <c r="C265" s="261">
        <v>8.6161774771510249</v>
      </c>
      <c r="D265" s="262">
        <v>8.4422671691665538</v>
      </c>
      <c r="E265" s="261">
        <v>19.643982034558064</v>
      </c>
      <c r="F265" s="261">
        <v>7.8210879137988272</v>
      </c>
    </row>
    <row r="266" spans="2:6" x14ac:dyDescent="0.25">
      <c r="B266" s="393" t="s">
        <v>589</v>
      </c>
      <c r="C266" s="261">
        <v>8.7128075049321563</v>
      </c>
      <c r="D266" s="262">
        <v>8.4422671691665538</v>
      </c>
      <c r="E266" s="261">
        <v>30.891369051965619</v>
      </c>
      <c r="F266" s="261">
        <v>8.8880271905009494</v>
      </c>
    </row>
    <row r="267" spans="2:6" x14ac:dyDescent="0.25">
      <c r="B267" s="393" t="s">
        <v>590</v>
      </c>
      <c r="C267" s="261">
        <v>11.639892096468976</v>
      </c>
      <c r="D267" s="262">
        <v>8.4422671691665538</v>
      </c>
      <c r="E267" s="261">
        <v>22.28446970692729</v>
      </c>
      <c r="F267" s="261">
        <v>8.8880271905009494</v>
      </c>
    </row>
    <row r="268" spans="2:6" x14ac:dyDescent="0.25">
      <c r="B268" s="393" t="s">
        <v>591</v>
      </c>
      <c r="C268" s="261">
        <v>8.4430486773764937</v>
      </c>
      <c r="D268" s="262">
        <v>8.4422671691665538</v>
      </c>
      <c r="E268" s="261">
        <v>18.358788919688088</v>
      </c>
      <c r="F268" s="261">
        <v>7.8210879137988272</v>
      </c>
    </row>
    <row r="269" spans="2:6" x14ac:dyDescent="0.25">
      <c r="B269" s="393" t="s">
        <v>592</v>
      </c>
      <c r="C269" s="261">
        <v>11.40636952933124</v>
      </c>
      <c r="D269" s="262">
        <v>8.4422671691665538</v>
      </c>
      <c r="E269" s="261">
        <v>13.942398034043986</v>
      </c>
      <c r="F269" s="261">
        <v>8.8880271905009494</v>
      </c>
    </row>
    <row r="270" spans="2:6" x14ac:dyDescent="0.25">
      <c r="B270" s="393" t="s">
        <v>593</v>
      </c>
      <c r="C270" s="261">
        <v>11.635865845311431</v>
      </c>
      <c r="D270" s="262">
        <v>8.4422671691665538</v>
      </c>
      <c r="E270" s="261">
        <v>12.259963410941472</v>
      </c>
      <c r="F270" s="261">
        <v>8.8880271905009494</v>
      </c>
    </row>
    <row r="271" spans="2:6" x14ac:dyDescent="0.25">
      <c r="B271" s="393" t="s">
        <v>594</v>
      </c>
      <c r="C271" s="261">
        <v>10.407859242259532</v>
      </c>
      <c r="D271" s="262">
        <v>8.4422671691665538</v>
      </c>
      <c r="E271" s="261">
        <v>23.3204132480043</v>
      </c>
      <c r="F271" s="261">
        <v>7.8680896440500216</v>
      </c>
    </row>
    <row r="272" spans="2:6" x14ac:dyDescent="0.25">
      <c r="B272" s="393" t="s">
        <v>595</v>
      </c>
      <c r="C272" s="261">
        <v>10.182389177436887</v>
      </c>
      <c r="D272" s="262">
        <v>8.4422671691665538</v>
      </c>
      <c r="E272" s="261">
        <v>16.793190034301027</v>
      </c>
      <c r="F272" s="261">
        <v>7.8680896440500216</v>
      </c>
    </row>
    <row r="273" spans="2:6" x14ac:dyDescent="0.25">
      <c r="B273" s="393" t="s">
        <v>596</v>
      </c>
      <c r="C273" s="261">
        <v>10.363570479526512</v>
      </c>
      <c r="D273" s="262">
        <v>8.4422671691665538</v>
      </c>
      <c r="E273" s="261">
        <v>21.957329641324023</v>
      </c>
      <c r="F273" s="261">
        <v>7.8210879137988272</v>
      </c>
    </row>
    <row r="274" spans="2:6" x14ac:dyDescent="0.25">
      <c r="B274" s="393" t="s">
        <v>597</v>
      </c>
      <c r="C274" s="261">
        <v>10.39578048878689</v>
      </c>
      <c r="D274" s="262">
        <v>8.4422671691665538</v>
      </c>
      <c r="E274" s="261">
        <v>19.145482886972136</v>
      </c>
      <c r="F274" s="261">
        <v>7.8210879137988272</v>
      </c>
    </row>
    <row r="275" spans="2:6" x14ac:dyDescent="0.25">
      <c r="B275" s="393" t="s">
        <v>598</v>
      </c>
      <c r="C275" s="261">
        <v>8.6967025003019671</v>
      </c>
      <c r="D275" s="262">
        <v>8.4422671691665538</v>
      </c>
      <c r="E275" s="261">
        <v>20.220371673954297</v>
      </c>
      <c r="F275" s="261">
        <v>8.8880271905009494</v>
      </c>
    </row>
    <row r="276" spans="2:6" x14ac:dyDescent="0.25">
      <c r="B276" s="393" t="s">
        <v>599</v>
      </c>
      <c r="C276" s="261">
        <v>11.454684543221806</v>
      </c>
      <c r="D276" s="262">
        <v>8.4422671691665538</v>
      </c>
      <c r="E276" s="261">
        <v>13.732093706156173</v>
      </c>
      <c r="F276" s="261">
        <v>8.8880271905009494</v>
      </c>
    </row>
    <row r="277" spans="2:6" x14ac:dyDescent="0.25">
      <c r="B277" s="393" t="s">
        <v>600</v>
      </c>
      <c r="C277" s="261">
        <v>10.295124209848209</v>
      </c>
      <c r="D277" s="262">
        <v>8.4422671691665538</v>
      </c>
      <c r="E277" s="261">
        <v>11.403168001028154</v>
      </c>
      <c r="F277" s="261">
        <v>7.4685749369148651</v>
      </c>
    </row>
    <row r="278" spans="2:6" x14ac:dyDescent="0.25">
      <c r="B278" s="393" t="s">
        <v>601</v>
      </c>
      <c r="C278" s="261">
        <v>10.850746869589724</v>
      </c>
      <c r="D278" s="262">
        <v>8.4422671691665538</v>
      </c>
      <c r="E278" s="261">
        <v>11.706940919088332</v>
      </c>
      <c r="F278" s="261">
        <v>7.4685749369148651</v>
      </c>
    </row>
    <row r="279" spans="2:6" x14ac:dyDescent="0.25">
      <c r="B279" s="393" t="s">
        <v>602</v>
      </c>
      <c r="C279" s="261">
        <v>10.963481902001046</v>
      </c>
      <c r="D279" s="262">
        <v>8.4422671691665538</v>
      </c>
      <c r="E279" s="261">
        <v>9.526007148399886</v>
      </c>
      <c r="F279" s="261">
        <v>7.4685749369148651</v>
      </c>
    </row>
    <row r="280" spans="2:6" x14ac:dyDescent="0.25">
      <c r="B280" s="393" t="s">
        <v>603</v>
      </c>
      <c r="C280" s="261">
        <v>10.943350646213309</v>
      </c>
      <c r="D280" s="262">
        <v>8.4422671691665538</v>
      </c>
      <c r="E280" s="261">
        <v>8.9729846565467462</v>
      </c>
      <c r="F280" s="261">
        <v>7.4685749369148651</v>
      </c>
    </row>
    <row r="281" spans="2:6" x14ac:dyDescent="0.25">
      <c r="B281" s="393" t="s">
        <v>604</v>
      </c>
      <c r="C281" s="261">
        <v>9.1959576438378221</v>
      </c>
      <c r="D281" s="262">
        <v>8.4422671691665538</v>
      </c>
      <c r="E281" s="261">
        <v>14.666779607879793</v>
      </c>
      <c r="F281" s="261">
        <v>7.8210879137988272</v>
      </c>
    </row>
    <row r="282" spans="2:6" x14ac:dyDescent="0.25">
      <c r="B282" s="393" t="s">
        <v>605</v>
      </c>
      <c r="C282" s="261">
        <v>8.4068124169585694</v>
      </c>
      <c r="D282" s="262">
        <v>8.4422671691665538</v>
      </c>
      <c r="E282" s="261">
        <v>21.334205706841608</v>
      </c>
      <c r="F282" s="261">
        <v>7.8210879137988272</v>
      </c>
    </row>
    <row r="283" spans="2:6" x14ac:dyDescent="0.25">
      <c r="B283" s="393" t="s">
        <v>606</v>
      </c>
      <c r="C283" s="261">
        <v>10.013286628819905</v>
      </c>
      <c r="D283" s="262">
        <v>8.4422671691665538</v>
      </c>
      <c r="E283" s="261">
        <v>15.095177312836451</v>
      </c>
      <c r="F283" s="261">
        <v>7.8680896440500216</v>
      </c>
    </row>
    <row r="284" spans="2:6" x14ac:dyDescent="0.25">
      <c r="B284" s="393" t="s">
        <v>607</v>
      </c>
      <c r="C284" s="261">
        <v>10.198494182067076</v>
      </c>
      <c r="D284" s="262">
        <v>8.4422671691665538</v>
      </c>
      <c r="E284" s="261">
        <v>17.159275345809444</v>
      </c>
      <c r="F284" s="261">
        <v>7.8680896440500216</v>
      </c>
    </row>
    <row r="285" spans="2:6" x14ac:dyDescent="0.25">
      <c r="B285" s="393" t="s">
        <v>608</v>
      </c>
      <c r="C285" s="261">
        <v>9.9126303498812245</v>
      </c>
      <c r="D285" s="262">
        <v>8.4422671691665538</v>
      </c>
      <c r="E285" s="261">
        <v>20.859073706798771</v>
      </c>
      <c r="F285" s="261">
        <v>7.8680896440500216</v>
      </c>
    </row>
    <row r="286" spans="2:6" x14ac:dyDescent="0.25">
      <c r="B286" s="393" t="s">
        <v>609</v>
      </c>
      <c r="C286" s="261">
        <v>11.555340822160485</v>
      </c>
      <c r="D286" s="262">
        <v>8.4422671691665538</v>
      </c>
      <c r="E286" s="261">
        <v>12.174283869950141</v>
      </c>
      <c r="F286" s="261">
        <v>7.4685749369148651</v>
      </c>
    </row>
    <row r="287" spans="2:6" x14ac:dyDescent="0.25">
      <c r="B287" s="393" t="s">
        <v>610</v>
      </c>
      <c r="C287" s="261">
        <v>10.291097958690662</v>
      </c>
      <c r="D287" s="262">
        <v>8.4422671691665538</v>
      </c>
      <c r="E287" s="261">
        <v>11.457691345295366</v>
      </c>
      <c r="F287" s="261">
        <v>7.4685749369148651</v>
      </c>
    </row>
    <row r="288" spans="2:6" x14ac:dyDescent="0.25">
      <c r="B288" s="393" t="s">
        <v>611</v>
      </c>
      <c r="C288" s="261">
        <v>8.9624350767000838</v>
      </c>
      <c r="D288" s="262">
        <v>8.4422671691665538</v>
      </c>
      <c r="E288" s="261">
        <v>19.285685772230678</v>
      </c>
      <c r="F288" s="261">
        <v>7.8210879137988272</v>
      </c>
    </row>
    <row r="289" spans="2:6" x14ac:dyDescent="0.25">
      <c r="B289" s="393" t="s">
        <v>612</v>
      </c>
      <c r="C289" s="261">
        <v>8.918146313967064</v>
      </c>
      <c r="D289" s="262">
        <v>8.4422671691665538</v>
      </c>
      <c r="E289" s="261">
        <v>14.822560591500396</v>
      </c>
      <c r="F289" s="261">
        <v>7.4685749369148651</v>
      </c>
    </row>
    <row r="290" spans="2:6" x14ac:dyDescent="0.25">
      <c r="B290" s="393" t="s">
        <v>613</v>
      </c>
      <c r="C290" s="261">
        <v>10.850746869589724</v>
      </c>
      <c r="D290" s="262">
        <v>8.4422671691665538</v>
      </c>
      <c r="E290" s="261">
        <v>18.475624657403539</v>
      </c>
      <c r="F290" s="261">
        <v>7.8210879137988272</v>
      </c>
    </row>
    <row r="291" spans="2:6" x14ac:dyDescent="0.25">
      <c r="B291" s="393" t="s">
        <v>614</v>
      </c>
      <c r="C291" s="261">
        <v>10.794379353384063</v>
      </c>
      <c r="D291" s="262">
        <v>8.4422671691665538</v>
      </c>
      <c r="E291" s="261">
        <v>11.956190492881298</v>
      </c>
      <c r="F291" s="261">
        <v>8.8880271905009494</v>
      </c>
    </row>
    <row r="292" spans="2:6" x14ac:dyDescent="0.25">
      <c r="B292" s="393" t="s">
        <v>615</v>
      </c>
      <c r="C292" s="261">
        <v>11.33389700849539</v>
      </c>
      <c r="D292" s="262">
        <v>8.4422671691665538</v>
      </c>
      <c r="E292" s="261">
        <v>14.744670099690094</v>
      </c>
      <c r="F292" s="261">
        <v>7.4685749369148651</v>
      </c>
    </row>
    <row r="293" spans="2:6" x14ac:dyDescent="0.25">
      <c r="B293" s="393" t="s">
        <v>616</v>
      </c>
      <c r="C293" s="261">
        <v>10.335386721423681</v>
      </c>
      <c r="D293" s="262">
        <v>8.4422671691665538</v>
      </c>
      <c r="E293" s="261">
        <v>23.795545248047141</v>
      </c>
      <c r="F293" s="261">
        <v>8.8880271905009494</v>
      </c>
    </row>
    <row r="294" spans="2:6" x14ac:dyDescent="0.25">
      <c r="B294" s="393" t="s">
        <v>617</v>
      </c>
      <c r="C294" s="261">
        <v>10.013286628819905</v>
      </c>
      <c r="D294" s="262">
        <v>8.4422671691665538</v>
      </c>
      <c r="E294" s="261">
        <v>16.53615141132703</v>
      </c>
      <c r="F294" s="261">
        <v>7.8680896440500216</v>
      </c>
    </row>
    <row r="295" spans="2:6" x14ac:dyDescent="0.25">
      <c r="B295" s="393" t="s">
        <v>618</v>
      </c>
      <c r="C295" s="261">
        <v>11.853283407818978</v>
      </c>
      <c r="D295" s="262">
        <v>8.4422671691665538</v>
      </c>
      <c r="E295" s="261">
        <v>14.246170952104164</v>
      </c>
      <c r="F295" s="261">
        <v>7.8680896440500216</v>
      </c>
    </row>
    <row r="296" spans="2:6" x14ac:dyDescent="0.25">
      <c r="B296" s="393" t="s">
        <v>619</v>
      </c>
      <c r="C296" s="261">
        <v>10.931271892740668</v>
      </c>
      <c r="D296" s="262">
        <v>8.4422671691665538</v>
      </c>
      <c r="E296" s="261">
        <v>16.691932394947635</v>
      </c>
      <c r="F296" s="261">
        <v>8.8880271905009494</v>
      </c>
    </row>
    <row r="297" spans="2:6" x14ac:dyDescent="0.25">
      <c r="B297" s="393" t="s">
        <v>620</v>
      </c>
      <c r="C297" s="261">
        <v>10.790353102226517</v>
      </c>
      <c r="D297" s="262">
        <v>8.4422671691665538</v>
      </c>
      <c r="E297" s="261">
        <v>19.901020657532062</v>
      </c>
      <c r="F297" s="261">
        <v>7.8680896440500216</v>
      </c>
    </row>
    <row r="298" spans="2:6" x14ac:dyDescent="0.25">
      <c r="B298" s="393" t="s">
        <v>621</v>
      </c>
      <c r="C298" s="261">
        <v>10.222651689012361</v>
      </c>
      <c r="D298" s="262">
        <v>8.4422671691665538</v>
      </c>
      <c r="E298" s="261">
        <v>14.588889116069492</v>
      </c>
      <c r="F298" s="261">
        <v>7.8210879137988272</v>
      </c>
    </row>
    <row r="299" spans="2:6" x14ac:dyDescent="0.25">
      <c r="B299" s="393" t="s">
        <v>622</v>
      </c>
      <c r="C299" s="261">
        <v>10.391754237629343</v>
      </c>
      <c r="D299" s="262">
        <v>8.4422671691665538</v>
      </c>
      <c r="E299" s="261">
        <v>13.225805509389213</v>
      </c>
      <c r="F299" s="261">
        <v>7.4685749369148651</v>
      </c>
    </row>
    <row r="300" spans="2:6" x14ac:dyDescent="0.25">
      <c r="B300" s="393" t="s">
        <v>623</v>
      </c>
      <c r="C300" s="261">
        <v>9.7636590570519779</v>
      </c>
      <c r="D300" s="262">
        <v>8.4422671691665538</v>
      </c>
      <c r="E300" s="261">
        <v>12.64941586999298</v>
      </c>
      <c r="F300" s="261">
        <v>7.4685749369148651</v>
      </c>
    </row>
    <row r="301" spans="2:6" x14ac:dyDescent="0.25">
      <c r="B301" s="393" t="s">
        <v>624</v>
      </c>
      <c r="C301" s="261">
        <v>10.56890928856142</v>
      </c>
      <c r="D301" s="262">
        <v>8.4422671691665538</v>
      </c>
      <c r="E301" s="261">
        <v>15.726090296499894</v>
      </c>
      <c r="F301" s="261">
        <v>7.8210879137988272</v>
      </c>
    </row>
    <row r="302" spans="2:6" x14ac:dyDescent="0.25">
      <c r="B302" s="393" t="s">
        <v>625</v>
      </c>
      <c r="C302" s="261">
        <v>10.315255465635945</v>
      </c>
      <c r="D302" s="262">
        <v>8.4422671691665538</v>
      </c>
      <c r="E302" s="261">
        <v>16.170066099818612</v>
      </c>
      <c r="F302" s="261">
        <v>8.8880271905009494</v>
      </c>
    </row>
    <row r="303" spans="2:6" x14ac:dyDescent="0.25">
      <c r="B303" s="393" t="s">
        <v>626</v>
      </c>
      <c r="C303" s="261">
        <v>9.9287353545114136</v>
      </c>
      <c r="D303" s="262">
        <v>8.4422671691665538</v>
      </c>
      <c r="E303" s="261">
        <v>20.859073706798771</v>
      </c>
      <c r="F303" s="261">
        <v>7.8680896440500216</v>
      </c>
    </row>
    <row r="304" spans="2:6" x14ac:dyDescent="0.25">
      <c r="B304" s="393" t="s">
        <v>627</v>
      </c>
      <c r="C304" s="261">
        <v>9.8522365825180174</v>
      </c>
      <c r="D304" s="262">
        <v>8.4422671691665538</v>
      </c>
      <c r="E304" s="261">
        <v>19.682927280463215</v>
      </c>
      <c r="F304" s="261">
        <v>7.8680896440500216</v>
      </c>
    </row>
    <row r="305" spans="2:6" x14ac:dyDescent="0.25">
      <c r="B305" s="393" t="s">
        <v>628</v>
      </c>
      <c r="C305" s="261">
        <v>10.858799371904819</v>
      </c>
      <c r="D305" s="262">
        <v>8.4422671691665538</v>
      </c>
      <c r="E305" s="261">
        <v>12.750673509346374</v>
      </c>
      <c r="F305" s="261">
        <v>7.8210879137988272</v>
      </c>
    </row>
    <row r="306" spans="2:6" x14ac:dyDescent="0.25">
      <c r="B306" s="393" t="s">
        <v>629</v>
      </c>
      <c r="C306" s="261">
        <v>9.4858477271812216</v>
      </c>
      <c r="D306" s="262">
        <v>8.4422671691665538</v>
      </c>
      <c r="E306" s="261">
        <v>16.224589444085822</v>
      </c>
      <c r="F306" s="261">
        <v>7.4685749369148651</v>
      </c>
    </row>
    <row r="307" spans="2:6" x14ac:dyDescent="0.25">
      <c r="B307" s="393" t="s">
        <v>630</v>
      </c>
      <c r="C307" s="261">
        <v>11.064138180939725</v>
      </c>
      <c r="D307" s="262">
        <v>8.4422671691665538</v>
      </c>
      <c r="E307" s="261">
        <v>11.130551279692099</v>
      </c>
      <c r="F307" s="261">
        <v>7.8210879137988272</v>
      </c>
    </row>
    <row r="308" spans="2:6" x14ac:dyDescent="0.25">
      <c r="B308" s="393" t="s">
        <v>631</v>
      </c>
      <c r="C308" s="261">
        <v>10.947376897370857</v>
      </c>
      <c r="D308" s="262">
        <v>8.4422671691665538</v>
      </c>
      <c r="E308" s="261">
        <v>16.629620001499394</v>
      </c>
      <c r="F308" s="261">
        <v>7.8210879137988272</v>
      </c>
    </row>
    <row r="309" spans="2:6" x14ac:dyDescent="0.25">
      <c r="B309" s="393" t="s">
        <v>632</v>
      </c>
      <c r="C309" s="261">
        <v>10.234730442485002</v>
      </c>
      <c r="D309" s="262">
        <v>8.4422671691665538</v>
      </c>
      <c r="E309" s="261">
        <v>16.061019411284192</v>
      </c>
      <c r="F309" s="261">
        <v>8.8880271905009494</v>
      </c>
    </row>
    <row r="310" spans="2:6" x14ac:dyDescent="0.25">
      <c r="B310" s="393" t="s">
        <v>633</v>
      </c>
      <c r="C310" s="261">
        <v>10.057575391552925</v>
      </c>
      <c r="D310" s="262">
        <v>8.4422671691665538</v>
      </c>
      <c r="E310" s="261">
        <v>17.907024067188342</v>
      </c>
      <c r="F310" s="261">
        <v>7.8680896440500216</v>
      </c>
    </row>
    <row r="311" spans="2:6" x14ac:dyDescent="0.25">
      <c r="B311" s="393" t="s">
        <v>634</v>
      </c>
      <c r="C311" s="261">
        <v>11.583524580263315</v>
      </c>
      <c r="D311" s="262">
        <v>8.4422671691665538</v>
      </c>
      <c r="E311" s="261">
        <v>12.041870033872629</v>
      </c>
      <c r="F311" s="261">
        <v>7.8210879137988272</v>
      </c>
    </row>
    <row r="312" spans="2:6" x14ac:dyDescent="0.25">
      <c r="B312" s="393" t="s">
        <v>635</v>
      </c>
      <c r="C312" s="261">
        <v>9.175826388050087</v>
      </c>
      <c r="D312" s="262">
        <v>8.4422671691665538</v>
      </c>
      <c r="E312" s="261">
        <v>19.098748591885954</v>
      </c>
      <c r="F312" s="261">
        <v>8.8880271905009494</v>
      </c>
    </row>
    <row r="313" spans="2:6" x14ac:dyDescent="0.25">
      <c r="B313" s="393" t="s">
        <v>636</v>
      </c>
      <c r="C313" s="261">
        <v>10.874904376535008</v>
      </c>
      <c r="D313" s="262">
        <v>8.4422671691665538</v>
      </c>
      <c r="E313" s="261">
        <v>17.003494362188839</v>
      </c>
      <c r="F313" s="261">
        <v>7.4685749369148651</v>
      </c>
    </row>
    <row r="314" spans="2:6" x14ac:dyDescent="0.25">
      <c r="B314" s="393" t="s">
        <v>637</v>
      </c>
      <c r="C314" s="261">
        <v>10.685670572130288</v>
      </c>
      <c r="D314" s="262">
        <v>8.4422671691665538</v>
      </c>
      <c r="E314" s="261">
        <v>18.156273640981304</v>
      </c>
      <c r="F314" s="261">
        <v>8.8880271905009494</v>
      </c>
    </row>
    <row r="315" spans="2:6" x14ac:dyDescent="0.25">
      <c r="B315" s="51"/>
      <c r="C315" s="345"/>
      <c r="D315" s="346"/>
      <c r="E315" s="345"/>
      <c r="F315" s="345"/>
    </row>
    <row r="316" spans="2:6" ht="13" x14ac:dyDescent="0.3">
      <c r="B316" s="3" t="s">
        <v>644</v>
      </c>
      <c r="C316" s="36"/>
      <c r="D316" s="36"/>
      <c r="E316" s="36"/>
    </row>
    <row r="317" spans="2:6" x14ac:dyDescent="0.25">
      <c r="B317" s="13" t="s">
        <v>645</v>
      </c>
      <c r="C317" s="36"/>
      <c r="D317" s="36"/>
      <c r="E317" s="36"/>
    </row>
    <row r="318" spans="2:6" ht="13" x14ac:dyDescent="0.3">
      <c r="B318" s="409" t="s">
        <v>185</v>
      </c>
      <c r="C318" s="409" t="s">
        <v>584</v>
      </c>
      <c r="D318" s="409" t="s">
        <v>585</v>
      </c>
      <c r="E318" s="409" t="s">
        <v>586</v>
      </c>
      <c r="F318" s="409" t="s">
        <v>587</v>
      </c>
    </row>
    <row r="319" spans="2:6" x14ac:dyDescent="0.25">
      <c r="B319" s="393" t="s">
        <v>588</v>
      </c>
      <c r="C319" s="261">
        <v>8.6081249748359294</v>
      </c>
      <c r="D319" s="262">
        <v>8.435540263055664</v>
      </c>
      <c r="E319" s="261">
        <v>8.5134307548659649</v>
      </c>
      <c r="F319" s="261">
        <v>7.8210879137988272</v>
      </c>
    </row>
    <row r="320" spans="2:6" x14ac:dyDescent="0.25">
      <c r="B320" s="393" t="s">
        <v>589</v>
      </c>
      <c r="C320" s="261">
        <v>8.5759149655755511</v>
      </c>
      <c r="D320" s="262">
        <v>8.435540263055664</v>
      </c>
      <c r="E320" s="261">
        <v>9.9232486566324241</v>
      </c>
      <c r="F320" s="261">
        <v>8.8880271905009494</v>
      </c>
    </row>
    <row r="321" spans="2:6" x14ac:dyDescent="0.25">
      <c r="B321" s="393" t="s">
        <v>590</v>
      </c>
      <c r="C321" s="261">
        <v>11.482868301324636</v>
      </c>
      <c r="D321" s="262">
        <v>8.435540263055664</v>
      </c>
      <c r="E321" s="261">
        <v>9.67399908283946</v>
      </c>
      <c r="F321" s="261">
        <v>8.8880271905009494</v>
      </c>
    </row>
    <row r="322" spans="2:6" x14ac:dyDescent="0.25">
      <c r="B322" s="393" t="s">
        <v>591</v>
      </c>
      <c r="C322" s="261">
        <v>8.0041873012038494</v>
      </c>
      <c r="D322" s="262">
        <v>8.435540263055664</v>
      </c>
      <c r="E322" s="261">
        <v>8.4744855089608144</v>
      </c>
      <c r="F322" s="261">
        <v>7.8210879137988272</v>
      </c>
    </row>
    <row r="323" spans="2:6" x14ac:dyDescent="0.25">
      <c r="B323" s="393" t="s">
        <v>592</v>
      </c>
      <c r="C323" s="261">
        <v>11.398317027016144</v>
      </c>
      <c r="D323" s="262">
        <v>8.435540263055664</v>
      </c>
      <c r="E323" s="261">
        <v>9.4247495090464941</v>
      </c>
      <c r="F323" s="261">
        <v>8.8880271905009494</v>
      </c>
    </row>
    <row r="324" spans="2:6" x14ac:dyDescent="0.25">
      <c r="B324" s="393" t="s">
        <v>593</v>
      </c>
      <c r="C324" s="261">
        <v>11.474815799009541</v>
      </c>
      <c r="D324" s="262">
        <v>8.435540263055664</v>
      </c>
      <c r="E324" s="261">
        <v>9.253390427063831</v>
      </c>
      <c r="F324" s="261">
        <v>8.8880271905009494</v>
      </c>
    </row>
    <row r="325" spans="2:6" x14ac:dyDescent="0.25">
      <c r="B325" s="393" t="s">
        <v>594</v>
      </c>
      <c r="C325" s="261">
        <v>10.142126665861415</v>
      </c>
      <c r="D325" s="262">
        <v>8.435540263055664</v>
      </c>
      <c r="E325" s="261">
        <v>8.6380555417624478</v>
      </c>
      <c r="F325" s="261">
        <v>7.8680896440500216</v>
      </c>
    </row>
    <row r="326" spans="2:6" x14ac:dyDescent="0.25">
      <c r="B326" s="393" t="s">
        <v>595</v>
      </c>
      <c r="C326" s="261">
        <v>9.9287353545114136</v>
      </c>
      <c r="D326" s="262">
        <v>8.435540263055664</v>
      </c>
      <c r="E326" s="261">
        <v>8.334282623702272</v>
      </c>
      <c r="F326" s="261">
        <v>7.8680896440500216</v>
      </c>
    </row>
    <row r="327" spans="2:6" x14ac:dyDescent="0.25">
      <c r="B327" s="393" t="s">
        <v>596</v>
      </c>
      <c r="C327" s="261">
        <v>10.379675484156701</v>
      </c>
      <c r="D327" s="262">
        <v>8.435540263055664</v>
      </c>
      <c r="E327" s="261">
        <v>8.6146883942193568</v>
      </c>
      <c r="F327" s="261">
        <v>7.8210879137988272</v>
      </c>
    </row>
    <row r="328" spans="2:6" x14ac:dyDescent="0.25">
      <c r="B328" s="393" t="s">
        <v>597</v>
      </c>
      <c r="C328" s="261">
        <v>10.1662841728067</v>
      </c>
      <c r="D328" s="262">
        <v>8.435540263055664</v>
      </c>
      <c r="E328" s="261">
        <v>8.458907410598755</v>
      </c>
      <c r="F328" s="261">
        <v>7.8210879137988272</v>
      </c>
    </row>
    <row r="329" spans="2:6" x14ac:dyDescent="0.25">
      <c r="B329" s="393" t="s">
        <v>598</v>
      </c>
      <c r="C329" s="261">
        <v>8.7611225188227237</v>
      </c>
      <c r="D329" s="262">
        <v>8.435540263055664</v>
      </c>
      <c r="E329" s="261">
        <v>9.7674676730118204</v>
      </c>
      <c r="F329" s="261">
        <v>8.8880271905009494</v>
      </c>
    </row>
    <row r="330" spans="2:6" x14ac:dyDescent="0.25">
      <c r="B330" s="393" t="s">
        <v>599</v>
      </c>
      <c r="C330" s="261">
        <v>11.321818255022748</v>
      </c>
      <c r="D330" s="262">
        <v>8.435540263055664</v>
      </c>
      <c r="E330" s="261">
        <v>9.3858042631413436</v>
      </c>
      <c r="F330" s="261">
        <v>8.8880271905009494</v>
      </c>
    </row>
    <row r="331" spans="2:6" x14ac:dyDescent="0.25">
      <c r="B331" s="393" t="s">
        <v>600</v>
      </c>
      <c r="C331" s="261">
        <v>10.246809195957644</v>
      </c>
      <c r="D331" s="262">
        <v>8.435540263055664</v>
      </c>
      <c r="E331" s="261">
        <v>7.7578929843060402</v>
      </c>
      <c r="F331" s="261">
        <v>7.4685749369148651</v>
      </c>
    </row>
    <row r="332" spans="2:6" x14ac:dyDescent="0.25">
      <c r="B332" s="393" t="s">
        <v>601</v>
      </c>
      <c r="C332" s="261">
        <v>10.613198051294439</v>
      </c>
      <c r="D332" s="262">
        <v>8.435540263055664</v>
      </c>
      <c r="E332" s="261">
        <v>7.8046272793922205</v>
      </c>
      <c r="F332" s="261">
        <v>7.4685749369148651</v>
      </c>
    </row>
    <row r="333" spans="2:6" x14ac:dyDescent="0.25">
      <c r="B333" s="393" t="s">
        <v>602</v>
      </c>
      <c r="C333" s="261">
        <v>10.834641864959535</v>
      </c>
      <c r="D333" s="262">
        <v>8.435540263055664</v>
      </c>
      <c r="E333" s="261">
        <v>7.5943229515044059</v>
      </c>
      <c r="F333" s="261">
        <v>7.4685749369148651</v>
      </c>
    </row>
    <row r="334" spans="2:6" x14ac:dyDescent="0.25">
      <c r="B334" s="393" t="s">
        <v>603</v>
      </c>
      <c r="C334" s="261">
        <v>10.758143092966138</v>
      </c>
      <c r="D334" s="262">
        <v>8.435540263055664</v>
      </c>
      <c r="E334" s="261">
        <v>7.5865339023233762</v>
      </c>
      <c r="F334" s="261">
        <v>7.4685749369148651</v>
      </c>
    </row>
    <row r="335" spans="2:6" x14ac:dyDescent="0.25">
      <c r="B335" s="393" t="s">
        <v>604</v>
      </c>
      <c r="C335" s="261">
        <v>8.9463300720698964</v>
      </c>
      <c r="D335" s="262">
        <v>8.435540263055664</v>
      </c>
      <c r="E335" s="261">
        <v>8.3732278696074225</v>
      </c>
      <c r="F335" s="261">
        <v>7.8210879137988272</v>
      </c>
    </row>
    <row r="336" spans="2:6" x14ac:dyDescent="0.25">
      <c r="B336" s="393" t="s">
        <v>605</v>
      </c>
      <c r="C336" s="261">
        <v>8.3182348914925317</v>
      </c>
      <c r="D336" s="262">
        <v>8.435540263055664</v>
      </c>
      <c r="E336" s="261">
        <v>8.5835321974952379</v>
      </c>
      <c r="F336" s="261">
        <v>7.8210879137988272</v>
      </c>
    </row>
    <row r="337" spans="2:6" x14ac:dyDescent="0.25">
      <c r="B337" s="393" t="s">
        <v>606</v>
      </c>
      <c r="C337" s="261">
        <v>10.045496638080284</v>
      </c>
      <c r="D337" s="262">
        <v>8.435540263055664</v>
      </c>
      <c r="E337" s="261">
        <v>8.4822745581418442</v>
      </c>
      <c r="F337" s="261">
        <v>7.8680896440500216</v>
      </c>
    </row>
    <row r="338" spans="2:6" x14ac:dyDescent="0.25">
      <c r="B338" s="393" t="s">
        <v>607</v>
      </c>
      <c r="C338" s="261">
        <v>10.037444135765188</v>
      </c>
      <c r="D338" s="262">
        <v>8.435540263055664</v>
      </c>
      <c r="E338" s="261">
        <v>8.4822745581418442</v>
      </c>
      <c r="F338" s="261">
        <v>7.8680896440500216</v>
      </c>
    </row>
    <row r="339" spans="2:6" x14ac:dyDescent="0.25">
      <c r="B339" s="393" t="s">
        <v>608</v>
      </c>
      <c r="C339" s="261">
        <v>9.5140314852840522</v>
      </c>
      <c r="D339" s="262">
        <v>8.435540263055664</v>
      </c>
      <c r="E339" s="261">
        <v>8.4978526565039054</v>
      </c>
      <c r="F339" s="261">
        <v>7.8680896440500216</v>
      </c>
    </row>
    <row r="340" spans="2:6" x14ac:dyDescent="0.25">
      <c r="B340" s="393" t="s">
        <v>609</v>
      </c>
      <c r="C340" s="261">
        <v>11.394290775858599</v>
      </c>
      <c r="D340" s="262">
        <v>8.435540263055664</v>
      </c>
      <c r="E340" s="261">
        <v>7.8202053777542817</v>
      </c>
      <c r="F340" s="261">
        <v>7.4685749369148651</v>
      </c>
    </row>
    <row r="341" spans="2:6" x14ac:dyDescent="0.25">
      <c r="B341" s="393" t="s">
        <v>610</v>
      </c>
      <c r="C341" s="261">
        <v>10.138100414703869</v>
      </c>
      <c r="D341" s="262">
        <v>8.435540263055664</v>
      </c>
      <c r="E341" s="261">
        <v>7.7968382302111907</v>
      </c>
      <c r="F341" s="261">
        <v>7.4685749369148651</v>
      </c>
    </row>
    <row r="342" spans="2:6" x14ac:dyDescent="0.25">
      <c r="B342" s="393" t="s">
        <v>611</v>
      </c>
      <c r="C342" s="261">
        <v>9.0268550952208386</v>
      </c>
      <c r="D342" s="262">
        <v>8.435540263055664</v>
      </c>
      <c r="E342" s="261">
        <v>8.5445869515900874</v>
      </c>
      <c r="F342" s="261">
        <v>7.8210879137988272</v>
      </c>
    </row>
    <row r="343" spans="2:6" x14ac:dyDescent="0.25">
      <c r="B343" s="393" t="s">
        <v>612</v>
      </c>
      <c r="C343" s="261">
        <v>8.8215162861859309</v>
      </c>
      <c r="D343" s="262">
        <v>8.435540263055664</v>
      </c>
      <c r="E343" s="261">
        <v>8.014931607280035</v>
      </c>
      <c r="F343" s="261">
        <v>7.4685749369148651</v>
      </c>
    </row>
    <row r="344" spans="2:6" x14ac:dyDescent="0.25">
      <c r="B344" s="393" t="s">
        <v>613</v>
      </c>
      <c r="C344" s="261">
        <v>10.613198051294439</v>
      </c>
      <c r="D344" s="262">
        <v>8.435540263055664</v>
      </c>
      <c r="E344" s="261">
        <v>8.4822745581418442</v>
      </c>
      <c r="F344" s="261">
        <v>7.8210879137988272</v>
      </c>
    </row>
    <row r="345" spans="2:6" x14ac:dyDescent="0.25">
      <c r="B345" s="393" t="s">
        <v>614</v>
      </c>
      <c r="C345" s="261">
        <v>10.617224302451985</v>
      </c>
      <c r="D345" s="262">
        <v>8.435540263055664</v>
      </c>
      <c r="E345" s="261">
        <v>9.2378123287017697</v>
      </c>
      <c r="F345" s="261">
        <v>8.8880271905009494</v>
      </c>
    </row>
    <row r="346" spans="2:6" x14ac:dyDescent="0.25">
      <c r="B346" s="393" t="s">
        <v>615</v>
      </c>
      <c r="C346" s="261">
        <v>11.313765752707653</v>
      </c>
      <c r="D346" s="262">
        <v>8.435540263055664</v>
      </c>
      <c r="E346" s="261">
        <v>7.9915644597369448</v>
      </c>
      <c r="F346" s="261">
        <v>7.4685749369148651</v>
      </c>
    </row>
    <row r="347" spans="2:6" x14ac:dyDescent="0.25">
      <c r="B347" s="393" t="s">
        <v>616</v>
      </c>
      <c r="C347" s="261">
        <v>10.56890928856142</v>
      </c>
      <c r="D347" s="262">
        <v>8.435540263055664</v>
      </c>
      <c r="E347" s="261">
        <v>9.7518895746497609</v>
      </c>
      <c r="F347" s="261">
        <v>8.8880271905009494</v>
      </c>
    </row>
    <row r="348" spans="2:6" x14ac:dyDescent="0.25">
      <c r="B348" s="393" t="s">
        <v>617</v>
      </c>
      <c r="C348" s="261">
        <v>9.538188992229335</v>
      </c>
      <c r="D348" s="262">
        <v>8.435540263055664</v>
      </c>
      <c r="E348" s="261">
        <v>8.4744855089608144</v>
      </c>
      <c r="F348" s="261">
        <v>7.8680896440500216</v>
      </c>
    </row>
    <row r="349" spans="2:6" x14ac:dyDescent="0.25">
      <c r="B349" s="393" t="s">
        <v>618</v>
      </c>
      <c r="C349" s="261">
        <v>11.901598421709547</v>
      </c>
      <c r="D349" s="262">
        <v>8.435540263055664</v>
      </c>
      <c r="E349" s="261">
        <v>8.412173115512573</v>
      </c>
      <c r="F349" s="261">
        <v>7.8680896440500216</v>
      </c>
    </row>
    <row r="350" spans="2:6" x14ac:dyDescent="0.25">
      <c r="B350" s="393" t="s">
        <v>619</v>
      </c>
      <c r="C350" s="261">
        <v>10.750090590651045</v>
      </c>
      <c r="D350" s="262">
        <v>8.435540263055664</v>
      </c>
      <c r="E350" s="261">
        <v>9.6428428861153392</v>
      </c>
      <c r="F350" s="261">
        <v>8.8880271905009494</v>
      </c>
    </row>
    <row r="351" spans="2:6" x14ac:dyDescent="0.25">
      <c r="B351" s="393" t="s">
        <v>620</v>
      </c>
      <c r="C351" s="261">
        <v>10.673591818657647</v>
      </c>
      <c r="D351" s="262">
        <v>8.435540263055664</v>
      </c>
      <c r="E351" s="261">
        <v>8.5601650499521469</v>
      </c>
      <c r="F351" s="261">
        <v>7.8680896440500216</v>
      </c>
    </row>
    <row r="352" spans="2:6" x14ac:dyDescent="0.25">
      <c r="B352" s="393" t="s">
        <v>621</v>
      </c>
      <c r="C352" s="261">
        <v>9.8723678383057525</v>
      </c>
      <c r="D352" s="262">
        <v>8.435540263055664</v>
      </c>
      <c r="E352" s="261">
        <v>8.3187045253402108</v>
      </c>
      <c r="F352" s="261">
        <v>7.8210879137988272</v>
      </c>
    </row>
    <row r="353" spans="2:6" x14ac:dyDescent="0.25">
      <c r="B353" s="393" t="s">
        <v>622</v>
      </c>
      <c r="C353" s="261">
        <v>10.194467930909529</v>
      </c>
      <c r="D353" s="262">
        <v>8.435540263055664</v>
      </c>
      <c r="E353" s="261">
        <v>7.9214630171076736</v>
      </c>
      <c r="F353" s="261">
        <v>7.4685749369148651</v>
      </c>
    </row>
    <row r="354" spans="2:6" x14ac:dyDescent="0.25">
      <c r="B354" s="393" t="s">
        <v>623</v>
      </c>
      <c r="C354" s="261">
        <v>9.7032652896887708</v>
      </c>
      <c r="D354" s="262">
        <v>8.435540263055664</v>
      </c>
      <c r="E354" s="261">
        <v>7.8669396728404619</v>
      </c>
      <c r="F354" s="261">
        <v>7.4685749369148651</v>
      </c>
    </row>
    <row r="355" spans="2:6" x14ac:dyDescent="0.25">
      <c r="B355" s="393" t="s">
        <v>624</v>
      </c>
      <c r="C355" s="261">
        <v>10.589040544349155</v>
      </c>
      <c r="D355" s="262">
        <v>8.435540263055664</v>
      </c>
      <c r="E355" s="261">
        <v>8.310915476159181</v>
      </c>
      <c r="F355" s="261">
        <v>7.8210879137988272</v>
      </c>
    </row>
    <row r="356" spans="2:6" x14ac:dyDescent="0.25">
      <c r="B356" s="393" t="s">
        <v>625</v>
      </c>
      <c r="C356" s="261">
        <v>10.319281716793492</v>
      </c>
      <c r="D356" s="262">
        <v>8.435540263055664</v>
      </c>
      <c r="E356" s="261">
        <v>9.549374295942977</v>
      </c>
      <c r="F356" s="261">
        <v>8.8880271905009494</v>
      </c>
    </row>
    <row r="357" spans="2:6" x14ac:dyDescent="0.25">
      <c r="B357" s="393" t="s">
        <v>626</v>
      </c>
      <c r="C357" s="261">
        <v>9.8119740709425454</v>
      </c>
      <c r="D357" s="262">
        <v>8.435540263055664</v>
      </c>
      <c r="E357" s="261">
        <v>8.6380555417624478</v>
      </c>
      <c r="F357" s="261">
        <v>7.8680896440500216</v>
      </c>
    </row>
    <row r="358" spans="2:6" x14ac:dyDescent="0.25">
      <c r="B358" s="393" t="s">
        <v>627</v>
      </c>
      <c r="C358" s="261">
        <v>9.8723678383057525</v>
      </c>
      <c r="D358" s="262">
        <v>8.435540263055664</v>
      </c>
      <c r="E358" s="261">
        <v>8.5835321974952379</v>
      </c>
      <c r="F358" s="261">
        <v>7.8680896440500216</v>
      </c>
    </row>
    <row r="359" spans="2:6" x14ac:dyDescent="0.25">
      <c r="B359" s="393" t="s">
        <v>628</v>
      </c>
      <c r="C359" s="261">
        <v>10.605145548979344</v>
      </c>
      <c r="D359" s="262">
        <v>8.435540263055664</v>
      </c>
      <c r="E359" s="261">
        <v>8.2018687876247593</v>
      </c>
      <c r="F359" s="261">
        <v>7.8210879137988272</v>
      </c>
    </row>
    <row r="360" spans="2:6" x14ac:dyDescent="0.25">
      <c r="B360" s="393" t="s">
        <v>629</v>
      </c>
      <c r="C360" s="261">
        <v>9.5180577364415981</v>
      </c>
      <c r="D360" s="262">
        <v>8.435540263055664</v>
      </c>
      <c r="E360" s="261">
        <v>8.0694549515472467</v>
      </c>
      <c r="F360" s="261">
        <v>7.4685749369148651</v>
      </c>
    </row>
    <row r="361" spans="2:6" x14ac:dyDescent="0.25">
      <c r="B361" s="393" t="s">
        <v>630</v>
      </c>
      <c r="C361" s="261">
        <v>11.132584450618028</v>
      </c>
      <c r="D361" s="262">
        <v>8.435540263055664</v>
      </c>
      <c r="E361" s="261">
        <v>8.1473454433575476</v>
      </c>
      <c r="F361" s="261">
        <v>7.8210879137988272</v>
      </c>
    </row>
    <row r="362" spans="2:6" x14ac:dyDescent="0.25">
      <c r="B362" s="393" t="s">
        <v>631</v>
      </c>
      <c r="C362" s="261">
        <v>10.762169344123686</v>
      </c>
      <c r="D362" s="262">
        <v>8.435540263055664</v>
      </c>
      <c r="E362" s="261">
        <v>8.357649771245363</v>
      </c>
      <c r="F362" s="261">
        <v>7.8210879137988272</v>
      </c>
    </row>
    <row r="363" spans="2:6" x14ac:dyDescent="0.25">
      <c r="B363" s="393" t="s">
        <v>632</v>
      </c>
      <c r="C363" s="261">
        <v>10.12199541007368</v>
      </c>
      <c r="D363" s="262">
        <v>8.435540263055664</v>
      </c>
      <c r="E363" s="261">
        <v>9.6038976402101888</v>
      </c>
      <c r="F363" s="261">
        <v>8.8880271905009494</v>
      </c>
    </row>
    <row r="364" spans="2:6" x14ac:dyDescent="0.25">
      <c r="B364" s="393" t="s">
        <v>633</v>
      </c>
      <c r="C364" s="261">
        <v>10.029391633450095</v>
      </c>
      <c r="D364" s="262">
        <v>8.435540263055664</v>
      </c>
      <c r="E364" s="261">
        <v>8.4900636073228757</v>
      </c>
      <c r="F364" s="261">
        <v>7.8680896440500216</v>
      </c>
    </row>
    <row r="365" spans="2:6" x14ac:dyDescent="0.25">
      <c r="B365" s="393" t="s">
        <v>634</v>
      </c>
      <c r="C365" s="261">
        <v>11.56339332447558</v>
      </c>
      <c r="D365" s="262">
        <v>8.435540263055664</v>
      </c>
      <c r="E365" s="261">
        <v>8.2096578368057891</v>
      </c>
      <c r="F365" s="261">
        <v>7.8210879137988272</v>
      </c>
    </row>
    <row r="366" spans="2:6" x14ac:dyDescent="0.25">
      <c r="B366" s="393" t="s">
        <v>635</v>
      </c>
      <c r="C366" s="261">
        <v>9.1154326206868781</v>
      </c>
      <c r="D366" s="262">
        <v>8.435540263055664</v>
      </c>
      <c r="E366" s="261">
        <v>9.7363114762877014</v>
      </c>
      <c r="F366" s="261">
        <v>8.8880271905009494</v>
      </c>
    </row>
    <row r="367" spans="2:6" x14ac:dyDescent="0.25">
      <c r="B367" s="393" t="s">
        <v>636</v>
      </c>
      <c r="C367" s="261">
        <v>10.637355558239722</v>
      </c>
      <c r="D367" s="262">
        <v>8.435540263055664</v>
      </c>
      <c r="E367" s="261">
        <v>7.9837754105559142</v>
      </c>
      <c r="F367" s="261">
        <v>7.4685749369148651</v>
      </c>
    </row>
    <row r="368" spans="2:6" x14ac:dyDescent="0.25">
      <c r="B368" s="393" t="s">
        <v>637</v>
      </c>
      <c r="C368" s="261">
        <v>10.59709304666425</v>
      </c>
      <c r="D368" s="262">
        <v>8.435540263055664</v>
      </c>
      <c r="E368" s="261">
        <v>9.572741443486068</v>
      </c>
      <c r="F368" s="261">
        <v>8.8880271905009494</v>
      </c>
    </row>
    <row r="369" spans="2:8" x14ac:dyDescent="0.25">
      <c r="B369" s="51"/>
      <c r="C369" s="345"/>
      <c r="D369" s="346"/>
      <c r="E369" s="345"/>
      <c r="F369" s="345"/>
    </row>
    <row r="370" spans="2:8" ht="13" x14ac:dyDescent="0.3">
      <c r="B370" s="3" t="s">
        <v>646</v>
      </c>
      <c r="C370" s="36"/>
      <c r="D370" s="36"/>
      <c r="E370" s="36"/>
    </row>
    <row r="371" spans="2:8" x14ac:dyDescent="0.25">
      <c r="B371" s="13" t="s">
        <v>647</v>
      </c>
      <c r="C371" s="36"/>
      <c r="D371" s="36"/>
      <c r="E371" s="36"/>
    </row>
    <row r="372" spans="2:8" s="46" customFormat="1" ht="13" x14ac:dyDescent="0.3">
      <c r="B372" s="409" t="s">
        <v>185</v>
      </c>
      <c r="C372" s="409" t="s">
        <v>584</v>
      </c>
      <c r="D372" s="409" t="s">
        <v>585</v>
      </c>
      <c r="E372" s="409" t="s">
        <v>586</v>
      </c>
      <c r="F372" s="409" t="s">
        <v>587</v>
      </c>
    </row>
    <row r="373" spans="2:8" x14ac:dyDescent="0.25">
      <c r="B373" s="393" t="s">
        <v>588</v>
      </c>
      <c r="C373" s="261">
        <v>8.9906188348029143</v>
      </c>
      <c r="D373" s="262">
        <v>8.43</v>
      </c>
      <c r="E373" s="261">
        <v>8.5333582937963506</v>
      </c>
      <c r="F373" s="261">
        <v>7.8210879137988272</v>
      </c>
      <c r="H373" s="263"/>
    </row>
    <row r="374" spans="2:8" x14ac:dyDescent="0.25">
      <c r="B374" s="393" t="s">
        <v>589</v>
      </c>
      <c r="C374" s="261">
        <v>7.9840560454161134</v>
      </c>
      <c r="D374" s="262">
        <v>8.43</v>
      </c>
      <c r="E374" s="261">
        <v>9.9763850619428993</v>
      </c>
      <c r="F374" s="261">
        <v>8.8880271905009494</v>
      </c>
      <c r="H374" s="263"/>
    </row>
    <row r="375" spans="2:8" x14ac:dyDescent="0.25">
      <c r="B375" s="393" t="s">
        <v>590</v>
      </c>
      <c r="C375" s="261">
        <v>11.474815799009541</v>
      </c>
      <c r="D375" s="262">
        <v>8.43</v>
      </c>
      <c r="E375" s="261">
        <v>9.7657811552404308</v>
      </c>
      <c r="F375" s="261">
        <v>8.8880271905009494</v>
      </c>
      <c r="H375" s="263"/>
    </row>
    <row r="376" spans="2:8" x14ac:dyDescent="0.25">
      <c r="B376" s="393" t="s">
        <v>591</v>
      </c>
      <c r="C376" s="261">
        <v>8.3021298868623425</v>
      </c>
      <c r="D376" s="262">
        <v>8.43</v>
      </c>
      <c r="E376" s="261">
        <v>8.478757280947562</v>
      </c>
      <c r="F376" s="261">
        <v>7.8210879137988272</v>
      </c>
      <c r="H376" s="263"/>
    </row>
    <row r="377" spans="2:8" x14ac:dyDescent="0.25">
      <c r="B377" s="393" t="s">
        <v>592</v>
      </c>
      <c r="C377" s="261">
        <v>11.273503241132181</v>
      </c>
      <c r="D377" s="262">
        <v>8.43</v>
      </c>
      <c r="E377" s="261">
        <v>9.4771758016111196</v>
      </c>
      <c r="F377" s="261">
        <v>8.8880271905009494</v>
      </c>
      <c r="H377" s="263"/>
    </row>
    <row r="378" spans="2:8" x14ac:dyDescent="0.25">
      <c r="B378" s="393" t="s">
        <v>593</v>
      </c>
      <c r="C378" s="261">
        <v>11.543262068687843</v>
      </c>
      <c r="D378" s="262">
        <v>8.43</v>
      </c>
      <c r="E378" s="261">
        <v>9.2743720396013352</v>
      </c>
      <c r="F378" s="261">
        <v>8.8880271905009494</v>
      </c>
      <c r="H378" s="263"/>
    </row>
    <row r="379" spans="2:8" x14ac:dyDescent="0.25">
      <c r="B379" s="393" t="s">
        <v>594</v>
      </c>
      <c r="C379" s="261">
        <v>10.218625437854813</v>
      </c>
      <c r="D379" s="262">
        <v>8.43</v>
      </c>
      <c r="E379" s="261">
        <v>8.6191598854158755</v>
      </c>
      <c r="F379" s="261">
        <v>7.8680896440500216</v>
      </c>
      <c r="H379" s="263"/>
    </row>
    <row r="380" spans="2:8" x14ac:dyDescent="0.25">
      <c r="B380" s="393" t="s">
        <v>595</v>
      </c>
      <c r="C380" s="261">
        <v>9.5341627410717873</v>
      </c>
      <c r="D380" s="262">
        <v>8.43</v>
      </c>
      <c r="E380" s="261">
        <v>8.5333582937963506</v>
      </c>
      <c r="F380" s="261">
        <v>7.8680896440500216</v>
      </c>
      <c r="H380" s="263"/>
    </row>
    <row r="381" spans="2:8" x14ac:dyDescent="0.25">
      <c r="B381" s="393" t="s">
        <v>596</v>
      </c>
      <c r="C381" s="261">
        <v>10.258887949430285</v>
      </c>
      <c r="D381" s="262">
        <v>8.43</v>
      </c>
      <c r="E381" s="261">
        <v>8.6347601748012419</v>
      </c>
      <c r="F381" s="261">
        <v>7.8210879137988272</v>
      </c>
      <c r="H381" s="263"/>
    </row>
    <row r="382" spans="2:8" x14ac:dyDescent="0.25">
      <c r="B382" s="393" t="s">
        <v>597</v>
      </c>
      <c r="C382" s="261">
        <v>10.025365382292547</v>
      </c>
      <c r="D382" s="262">
        <v>8.43</v>
      </c>
      <c r="E382" s="261">
        <v>8.4865574256402461</v>
      </c>
      <c r="F382" s="261">
        <v>7.8210879137988272</v>
      </c>
      <c r="H382" s="263"/>
    </row>
    <row r="383" spans="2:8" x14ac:dyDescent="0.25">
      <c r="B383" s="393" t="s">
        <v>598</v>
      </c>
      <c r="C383" s="261">
        <v>8.4309699239038522</v>
      </c>
      <c r="D383" s="262">
        <v>8.43</v>
      </c>
      <c r="E383" s="261">
        <v>9.7657811552404308</v>
      </c>
      <c r="F383" s="261">
        <v>8.8880271905009494</v>
      </c>
      <c r="H383" s="263"/>
    </row>
    <row r="384" spans="2:8" x14ac:dyDescent="0.25">
      <c r="B384" s="393" t="s">
        <v>599</v>
      </c>
      <c r="C384" s="261">
        <v>11.241293231871802</v>
      </c>
      <c r="D384" s="262">
        <v>8.43</v>
      </c>
      <c r="E384" s="261">
        <v>9.4069744993769646</v>
      </c>
      <c r="F384" s="261">
        <v>8.8880271905009494</v>
      </c>
      <c r="H384" s="263"/>
    </row>
    <row r="385" spans="2:8" x14ac:dyDescent="0.25">
      <c r="B385" s="393" t="s">
        <v>600</v>
      </c>
      <c r="C385" s="261">
        <v>10.190441679751983</v>
      </c>
      <c r="D385" s="262">
        <v>8.43</v>
      </c>
      <c r="E385" s="261">
        <v>7.7845444032986819</v>
      </c>
      <c r="F385" s="261">
        <v>7.4685749369148651</v>
      </c>
      <c r="H385" s="263"/>
    </row>
    <row r="386" spans="2:8" x14ac:dyDescent="0.25">
      <c r="B386" s="393" t="s">
        <v>601</v>
      </c>
      <c r="C386" s="261">
        <v>10.536699279301043</v>
      </c>
      <c r="D386" s="262">
        <v>8.43</v>
      </c>
      <c r="E386" s="261">
        <v>7.9093467183816264</v>
      </c>
      <c r="F386" s="261">
        <v>7.4685749369148651</v>
      </c>
      <c r="H386" s="263"/>
    </row>
    <row r="387" spans="2:8" x14ac:dyDescent="0.25">
      <c r="B387" s="393" t="s">
        <v>602</v>
      </c>
      <c r="C387" s="261">
        <v>10.665539316342553</v>
      </c>
      <c r="D387" s="262">
        <v>8.43</v>
      </c>
      <c r="E387" s="261">
        <v>7.6441417988303693</v>
      </c>
      <c r="F387" s="261">
        <v>7.4685749369148651</v>
      </c>
      <c r="H387" s="263"/>
    </row>
    <row r="388" spans="2:8" x14ac:dyDescent="0.25">
      <c r="B388" s="393" t="s">
        <v>603</v>
      </c>
      <c r="C388" s="261">
        <v>10.742038088335949</v>
      </c>
      <c r="D388" s="262">
        <v>8.43</v>
      </c>
      <c r="E388" s="261">
        <v>7.612941220059632</v>
      </c>
      <c r="F388" s="261">
        <v>7.4685749369148651</v>
      </c>
      <c r="H388" s="263"/>
    </row>
    <row r="389" spans="2:8" x14ac:dyDescent="0.25">
      <c r="B389" s="393" t="s">
        <v>604</v>
      </c>
      <c r="C389" s="261">
        <v>9.1073801183717826</v>
      </c>
      <c r="D389" s="262">
        <v>8.43</v>
      </c>
      <c r="E389" s="261">
        <v>8.4007558340207211</v>
      </c>
      <c r="F389" s="261">
        <v>7.8210879137988272</v>
      </c>
      <c r="H389" s="263"/>
    </row>
    <row r="390" spans="2:8" x14ac:dyDescent="0.25">
      <c r="B390" s="393" t="s">
        <v>605</v>
      </c>
      <c r="C390" s="261">
        <v>7.9760035431010188</v>
      </c>
      <c r="D390" s="262">
        <v>8.43</v>
      </c>
      <c r="E390" s="261">
        <v>8.6269600301085578</v>
      </c>
      <c r="F390" s="261">
        <v>7.8210879137988272</v>
      </c>
      <c r="H390" s="263"/>
    </row>
    <row r="391" spans="2:8" x14ac:dyDescent="0.25">
      <c r="B391" s="393" t="s">
        <v>606</v>
      </c>
      <c r="C391" s="261">
        <v>9.9448403591416028</v>
      </c>
      <c r="D391" s="262">
        <v>8.43</v>
      </c>
      <c r="E391" s="261">
        <v>8.5099578597182983</v>
      </c>
      <c r="F391" s="261">
        <v>7.8680896440500216</v>
      </c>
      <c r="H391" s="263"/>
    </row>
    <row r="392" spans="2:8" x14ac:dyDescent="0.25">
      <c r="B392" s="393" t="s">
        <v>607</v>
      </c>
      <c r="C392" s="261">
        <v>10.001207875347264</v>
      </c>
      <c r="D392" s="262">
        <v>8.43</v>
      </c>
      <c r="E392" s="261">
        <v>8.5099578597182983</v>
      </c>
      <c r="F392" s="261">
        <v>7.8680896440500216</v>
      </c>
      <c r="H392" s="263"/>
    </row>
    <row r="393" spans="2:8" x14ac:dyDescent="0.25">
      <c r="B393" s="393" t="s">
        <v>608</v>
      </c>
      <c r="C393" s="261">
        <v>9.6670290292708447</v>
      </c>
      <c r="D393" s="262">
        <v>8.43</v>
      </c>
      <c r="E393" s="261">
        <v>8.5255581491036665</v>
      </c>
      <c r="F393" s="261">
        <v>7.8680896440500216</v>
      </c>
      <c r="H393" s="263"/>
    </row>
    <row r="394" spans="2:8" x14ac:dyDescent="0.25">
      <c r="B394" s="393" t="s">
        <v>609</v>
      </c>
      <c r="C394" s="261">
        <v>11.422474533961427</v>
      </c>
      <c r="D394" s="262">
        <v>8.43</v>
      </c>
      <c r="E394" s="261">
        <v>7.8313452714547864</v>
      </c>
      <c r="F394" s="261">
        <v>7.4685749369148651</v>
      </c>
      <c r="H394" s="263"/>
    </row>
    <row r="395" spans="2:8" x14ac:dyDescent="0.25">
      <c r="B395" s="393" t="s">
        <v>610</v>
      </c>
      <c r="C395" s="261">
        <v>10.25083544711519</v>
      </c>
      <c r="D395" s="262">
        <v>8.43</v>
      </c>
      <c r="E395" s="261">
        <v>7.8313452714547864</v>
      </c>
      <c r="F395" s="261">
        <v>7.4685749369148651</v>
      </c>
      <c r="H395" s="263"/>
    </row>
    <row r="396" spans="2:8" x14ac:dyDescent="0.25">
      <c r="B396" s="393" t="s">
        <v>611</v>
      </c>
      <c r="C396" s="261">
        <v>8.5920199702057403</v>
      </c>
      <c r="D396" s="262">
        <v>8.43</v>
      </c>
      <c r="E396" s="261">
        <v>8.5255581491036665</v>
      </c>
      <c r="F396" s="261">
        <v>7.8210879137988272</v>
      </c>
      <c r="H396" s="263"/>
    </row>
    <row r="397" spans="2:8" x14ac:dyDescent="0.25">
      <c r="B397" s="393" t="s">
        <v>612</v>
      </c>
      <c r="C397" s="261">
        <v>8.8134637838708372</v>
      </c>
      <c r="D397" s="262">
        <v>8.43</v>
      </c>
      <c r="E397" s="261">
        <v>7.9717478759230991</v>
      </c>
      <c r="F397" s="261">
        <v>7.4685749369148651</v>
      </c>
      <c r="H397" s="263"/>
    </row>
    <row r="398" spans="2:8" x14ac:dyDescent="0.25">
      <c r="B398" s="393" t="s">
        <v>613</v>
      </c>
      <c r="C398" s="261">
        <v>10.633329307082175</v>
      </c>
      <c r="D398" s="262">
        <v>8.43</v>
      </c>
      <c r="E398" s="261">
        <v>8.4163561234060893</v>
      </c>
      <c r="F398" s="261">
        <v>7.8210879137988272</v>
      </c>
      <c r="H398" s="263"/>
    </row>
    <row r="399" spans="2:8" x14ac:dyDescent="0.25">
      <c r="B399" s="393" t="s">
        <v>614</v>
      </c>
      <c r="C399" s="261">
        <v>10.379675484156701</v>
      </c>
      <c r="D399" s="262">
        <v>8.43</v>
      </c>
      <c r="E399" s="261">
        <v>9.2509716055232829</v>
      </c>
      <c r="F399" s="261">
        <v>8.8880271905009494</v>
      </c>
      <c r="H399" s="263"/>
    </row>
    <row r="400" spans="2:8" x14ac:dyDescent="0.25">
      <c r="B400" s="393" t="s">
        <v>615</v>
      </c>
      <c r="C400" s="261">
        <v>11.084269436727462</v>
      </c>
      <c r="D400" s="262">
        <v>8.43</v>
      </c>
      <c r="E400" s="261">
        <v>8.0107485993865186</v>
      </c>
      <c r="F400" s="261">
        <v>7.4685749369148651</v>
      </c>
      <c r="H400" s="263"/>
    </row>
    <row r="401" spans="2:8" x14ac:dyDescent="0.25">
      <c r="B401" s="393" t="s">
        <v>616</v>
      </c>
      <c r="C401" s="261">
        <v>10.399806739944436</v>
      </c>
      <c r="D401" s="262">
        <v>8.43</v>
      </c>
      <c r="E401" s="261">
        <v>9.6175784060794332</v>
      </c>
      <c r="F401" s="261">
        <v>8.8880271905009494</v>
      </c>
      <c r="H401" s="263"/>
    </row>
    <row r="402" spans="2:8" x14ac:dyDescent="0.25">
      <c r="B402" s="393" t="s">
        <v>617</v>
      </c>
      <c r="C402" s="261">
        <v>9.6871602850585816</v>
      </c>
      <c r="D402" s="262">
        <v>8.43</v>
      </c>
      <c r="E402" s="261">
        <v>8.4475567021768256</v>
      </c>
      <c r="F402" s="261">
        <v>7.8680896440500216</v>
      </c>
      <c r="H402" s="263"/>
    </row>
    <row r="403" spans="2:8" x14ac:dyDescent="0.25">
      <c r="B403" s="393" t="s">
        <v>618</v>
      </c>
      <c r="C403" s="261">
        <v>11.80899464508596</v>
      </c>
      <c r="D403" s="262">
        <v>8.43</v>
      </c>
      <c r="E403" s="261">
        <v>8.4319564127914575</v>
      </c>
      <c r="F403" s="261">
        <v>7.8680896440500216</v>
      </c>
      <c r="H403" s="263"/>
    </row>
    <row r="404" spans="2:8" x14ac:dyDescent="0.25">
      <c r="B404" s="393" t="s">
        <v>619</v>
      </c>
      <c r="C404" s="261">
        <v>10.685670572130288</v>
      </c>
      <c r="D404" s="262">
        <v>8.43</v>
      </c>
      <c r="E404" s="261">
        <v>9.5005762356891736</v>
      </c>
      <c r="F404" s="261">
        <v>8.8880271905009494</v>
      </c>
      <c r="H404" s="263"/>
    </row>
    <row r="405" spans="2:8" x14ac:dyDescent="0.25">
      <c r="B405" s="393" t="s">
        <v>620</v>
      </c>
      <c r="C405" s="261">
        <v>10.536699279301043</v>
      </c>
      <c r="D405" s="262">
        <v>8.43</v>
      </c>
      <c r="E405" s="261">
        <v>8.6113597407231914</v>
      </c>
      <c r="F405" s="261">
        <v>7.8680896440500216</v>
      </c>
      <c r="H405" s="263"/>
    </row>
    <row r="406" spans="2:8" x14ac:dyDescent="0.25">
      <c r="B406" s="393" t="s">
        <v>621</v>
      </c>
      <c r="C406" s="261">
        <v>9.9247091033538659</v>
      </c>
      <c r="D406" s="262">
        <v>8.43</v>
      </c>
      <c r="E406" s="261">
        <v>8.3071540977085121</v>
      </c>
      <c r="F406" s="261">
        <v>7.8210879137988272</v>
      </c>
      <c r="H406" s="263"/>
    </row>
    <row r="407" spans="2:8" x14ac:dyDescent="0.25">
      <c r="B407" s="393" t="s">
        <v>622</v>
      </c>
      <c r="C407" s="261">
        <v>10.274992954060474</v>
      </c>
      <c r="D407" s="262">
        <v>8.43</v>
      </c>
      <c r="E407" s="261">
        <v>7.9483474418450468</v>
      </c>
      <c r="F407" s="261">
        <v>7.4685749369148651</v>
      </c>
      <c r="H407" s="263"/>
    </row>
    <row r="408" spans="2:8" x14ac:dyDescent="0.25">
      <c r="B408" s="393" t="s">
        <v>623</v>
      </c>
      <c r="C408" s="261">
        <v>9.5945565084349962</v>
      </c>
      <c r="D408" s="262">
        <v>8.43</v>
      </c>
      <c r="E408" s="261">
        <v>7.9015465736889423</v>
      </c>
      <c r="F408" s="261">
        <v>7.4685749369148651</v>
      </c>
      <c r="H408" s="263"/>
    </row>
    <row r="409" spans="2:8" x14ac:dyDescent="0.25">
      <c r="B409" s="393" t="s">
        <v>624</v>
      </c>
      <c r="C409" s="261">
        <v>10.540725530458589</v>
      </c>
      <c r="D409" s="262">
        <v>8.43</v>
      </c>
      <c r="E409" s="261">
        <v>8.3305545317865644</v>
      </c>
      <c r="F409" s="261">
        <v>7.8210879137988272</v>
      </c>
      <c r="H409" s="263"/>
    </row>
    <row r="410" spans="2:8" x14ac:dyDescent="0.25">
      <c r="B410" s="393" t="s">
        <v>625</v>
      </c>
      <c r="C410" s="261">
        <v>10.391754237629343</v>
      </c>
      <c r="D410" s="262">
        <v>8.43</v>
      </c>
      <c r="E410" s="261">
        <v>9.5629773932306446</v>
      </c>
      <c r="F410" s="261">
        <v>8.8880271905009494</v>
      </c>
      <c r="H410" s="263"/>
    </row>
    <row r="411" spans="2:8" x14ac:dyDescent="0.25">
      <c r="B411" s="393" t="s">
        <v>626</v>
      </c>
      <c r="C411" s="261">
        <v>9.7556065547368842</v>
      </c>
      <c r="D411" s="262">
        <v>8.43</v>
      </c>
      <c r="E411" s="261">
        <v>8.6581606088792959</v>
      </c>
      <c r="F411" s="261">
        <v>7.8680896440500216</v>
      </c>
      <c r="H411" s="263"/>
    </row>
    <row r="412" spans="2:8" x14ac:dyDescent="0.25">
      <c r="B412" s="393" t="s">
        <v>627</v>
      </c>
      <c r="C412" s="261">
        <v>10.021339131134999</v>
      </c>
      <c r="D412" s="262">
        <v>8.43</v>
      </c>
      <c r="E412" s="261">
        <v>8.6113597407231914</v>
      </c>
      <c r="F412" s="261">
        <v>7.8680896440500216</v>
      </c>
      <c r="H412" s="263"/>
    </row>
    <row r="413" spans="2:8" x14ac:dyDescent="0.25">
      <c r="B413" s="393" t="s">
        <v>628</v>
      </c>
      <c r="C413" s="261">
        <v>10.585014293191609</v>
      </c>
      <c r="D413" s="262">
        <v>8.43</v>
      </c>
      <c r="E413" s="261">
        <v>8.1901519273182526</v>
      </c>
      <c r="F413" s="261">
        <v>7.8210879137988272</v>
      </c>
      <c r="H413" s="263"/>
    </row>
    <row r="414" spans="2:8" x14ac:dyDescent="0.25">
      <c r="B414" s="393" t="s">
        <v>629</v>
      </c>
      <c r="C414" s="261">
        <v>9.5623464991746179</v>
      </c>
      <c r="D414" s="262">
        <v>8.43</v>
      </c>
      <c r="E414" s="261">
        <v>8.1199506250840958</v>
      </c>
      <c r="F414" s="261">
        <v>7.4685749369148651</v>
      </c>
      <c r="H414" s="263"/>
    </row>
    <row r="415" spans="2:8" x14ac:dyDescent="0.25">
      <c r="B415" s="393" t="s">
        <v>630</v>
      </c>
      <c r="C415" s="261">
        <v>10.874904376535008</v>
      </c>
      <c r="D415" s="262">
        <v>8.43</v>
      </c>
      <c r="E415" s="261">
        <v>8.2135523613963048</v>
      </c>
      <c r="F415" s="261">
        <v>7.8210879137988272</v>
      </c>
      <c r="H415" s="263"/>
    </row>
    <row r="416" spans="2:8" x14ac:dyDescent="0.25">
      <c r="B416" s="393" t="s">
        <v>631</v>
      </c>
      <c r="C416" s="261">
        <v>10.862825623062367</v>
      </c>
      <c r="D416" s="262">
        <v>8.43</v>
      </c>
      <c r="E416" s="261">
        <v>8.4241562680987734</v>
      </c>
      <c r="F416" s="261">
        <v>7.8210879137988272</v>
      </c>
      <c r="H416" s="263"/>
    </row>
    <row r="417" spans="2:22" x14ac:dyDescent="0.25">
      <c r="B417" s="393" t="s">
        <v>632</v>
      </c>
      <c r="C417" s="261">
        <v>10.001207875347264</v>
      </c>
      <c r="D417" s="262">
        <v>8.43</v>
      </c>
      <c r="E417" s="261">
        <v>9.5629773932306446</v>
      </c>
      <c r="F417" s="261">
        <v>8.8880271905009494</v>
      </c>
      <c r="H417" s="263"/>
    </row>
    <row r="418" spans="2:22" x14ac:dyDescent="0.25">
      <c r="B418" s="393" t="s">
        <v>633</v>
      </c>
      <c r="C418" s="261">
        <v>10.085759149655754</v>
      </c>
      <c r="D418" s="262">
        <v>8.43</v>
      </c>
      <c r="E418" s="261">
        <v>8.5177580044109824</v>
      </c>
      <c r="F418" s="261">
        <v>7.8680896440500216</v>
      </c>
      <c r="H418" s="263"/>
    </row>
    <row r="419" spans="2:22" x14ac:dyDescent="0.25">
      <c r="B419" s="393" t="s">
        <v>634</v>
      </c>
      <c r="C419" s="261">
        <v>11.498973305954825</v>
      </c>
      <c r="D419" s="262">
        <v>8.43</v>
      </c>
      <c r="E419" s="261">
        <v>8.2525530848597253</v>
      </c>
      <c r="F419" s="261">
        <v>7.8210879137988272</v>
      </c>
      <c r="H419" s="263"/>
    </row>
    <row r="420" spans="2:22" x14ac:dyDescent="0.25">
      <c r="B420" s="393" t="s">
        <v>635</v>
      </c>
      <c r="C420" s="261">
        <v>9.1476426299472564</v>
      </c>
      <c r="D420" s="262">
        <v>8.43</v>
      </c>
      <c r="E420" s="261">
        <v>9.7267804317770103</v>
      </c>
      <c r="F420" s="261">
        <v>8.8880271905009494</v>
      </c>
      <c r="H420" s="263"/>
    </row>
    <row r="421" spans="2:22" x14ac:dyDescent="0.25">
      <c r="B421" s="393" t="s">
        <v>636</v>
      </c>
      <c r="C421" s="261">
        <v>10.629303055924627</v>
      </c>
      <c r="D421" s="262">
        <v>8.43</v>
      </c>
      <c r="E421" s="261">
        <v>7.963947731230415</v>
      </c>
      <c r="F421" s="261">
        <v>7.4685749369148651</v>
      </c>
      <c r="H421" s="263"/>
    </row>
    <row r="422" spans="2:22" x14ac:dyDescent="0.25">
      <c r="B422" s="393" t="s">
        <v>637</v>
      </c>
      <c r="C422" s="261">
        <v>10.460200507307645</v>
      </c>
      <c r="D422" s="262">
        <v>8.43</v>
      </c>
      <c r="E422" s="261">
        <v>9.6175784060794332</v>
      </c>
      <c r="F422" s="261">
        <v>8.8880271905009494</v>
      </c>
      <c r="H422" s="263"/>
    </row>
    <row r="423" spans="2:22" ht="13" x14ac:dyDescent="0.3">
      <c r="B423" s="260"/>
      <c r="C423" s="36"/>
      <c r="D423" s="36"/>
      <c r="E423" s="36"/>
    </row>
    <row r="424" spans="2:22" ht="15.5" x14ac:dyDescent="0.35">
      <c r="B424" s="202" t="s">
        <v>648</v>
      </c>
    </row>
    <row r="425" spans="2:22" x14ac:dyDescent="0.25">
      <c r="B425" s="13" t="s">
        <v>649</v>
      </c>
    </row>
    <row r="426" spans="2:22" ht="13.5" thickBot="1" x14ac:dyDescent="0.35">
      <c r="B426" s="3"/>
    </row>
    <row r="427" spans="2:22" ht="13" x14ac:dyDescent="0.3">
      <c r="B427" s="537" t="s">
        <v>650</v>
      </c>
      <c r="C427" s="538"/>
      <c r="D427" s="538"/>
      <c r="E427" s="538"/>
      <c r="F427" s="538"/>
      <c r="G427" s="538"/>
      <c r="H427" s="538"/>
      <c r="I427" s="538"/>
      <c r="J427" s="538"/>
      <c r="K427" s="538"/>
      <c r="L427" s="538"/>
      <c r="M427" s="538"/>
      <c r="N427" s="538"/>
      <c r="O427" s="538"/>
      <c r="P427" s="538"/>
      <c r="Q427" s="538"/>
      <c r="R427" s="538"/>
      <c r="S427" s="538"/>
      <c r="T427" s="538"/>
      <c r="U427" s="538"/>
      <c r="V427" s="539"/>
    </row>
    <row r="428" spans="2:22" ht="13" x14ac:dyDescent="0.3">
      <c r="B428" s="265"/>
      <c r="C428" s="540" t="s">
        <v>651</v>
      </c>
      <c r="D428" s="416"/>
      <c r="E428" s="416"/>
      <c r="F428" s="416"/>
      <c r="G428" s="416"/>
      <c r="H428" s="416"/>
      <c r="I428" s="416"/>
      <c r="J428" s="416"/>
      <c r="K428" s="416"/>
      <c r="L428" s="416"/>
      <c r="M428" s="416"/>
      <c r="N428" s="416"/>
      <c r="O428" s="416"/>
      <c r="P428" s="416"/>
      <c r="Q428" s="416"/>
      <c r="R428" s="416"/>
      <c r="S428" s="416"/>
      <c r="T428" s="416"/>
      <c r="U428" s="416"/>
      <c r="V428" s="541"/>
    </row>
    <row r="429" spans="2:22" ht="13" x14ac:dyDescent="0.3">
      <c r="B429" s="265"/>
      <c r="C429" s="542" t="s">
        <v>652</v>
      </c>
      <c r="D429" s="543"/>
      <c r="E429" s="543"/>
      <c r="F429" s="543"/>
      <c r="G429" s="544"/>
      <c r="H429" s="634" t="s">
        <v>653</v>
      </c>
      <c r="I429" s="634"/>
      <c r="J429" s="634"/>
      <c r="K429" s="634"/>
      <c r="L429" s="634"/>
      <c r="M429" s="634"/>
      <c r="N429" s="634"/>
      <c r="O429" s="634"/>
      <c r="P429" s="634"/>
      <c r="Q429" s="634"/>
      <c r="R429" s="634"/>
      <c r="S429" s="634" t="s">
        <v>654</v>
      </c>
      <c r="T429" s="634"/>
      <c r="U429" s="634"/>
      <c r="V429" s="266"/>
    </row>
    <row r="430" spans="2:22" ht="13" x14ac:dyDescent="0.3">
      <c r="B430" s="265" t="s">
        <v>354</v>
      </c>
      <c r="C430" s="267" t="s">
        <v>655</v>
      </c>
      <c r="D430" s="267">
        <v>11</v>
      </c>
      <c r="E430" s="267">
        <v>12</v>
      </c>
      <c r="F430" s="267">
        <v>13</v>
      </c>
      <c r="G430" s="267">
        <v>14</v>
      </c>
      <c r="H430" s="267">
        <v>15</v>
      </c>
      <c r="I430" s="267">
        <v>16</v>
      </c>
      <c r="J430" s="267">
        <v>17</v>
      </c>
      <c r="K430" s="267">
        <v>18</v>
      </c>
      <c r="L430" s="267">
        <v>19</v>
      </c>
      <c r="M430" s="267">
        <v>20</v>
      </c>
      <c r="N430" s="267">
        <v>21</v>
      </c>
      <c r="O430" s="267">
        <v>22</v>
      </c>
      <c r="P430" s="267">
        <v>23</v>
      </c>
      <c r="Q430" s="267">
        <v>24</v>
      </c>
      <c r="R430" s="267">
        <v>25</v>
      </c>
      <c r="S430" s="267">
        <v>26</v>
      </c>
      <c r="T430" s="267">
        <v>27</v>
      </c>
      <c r="U430" s="267" t="s">
        <v>656</v>
      </c>
      <c r="V430" s="268" t="s">
        <v>657</v>
      </c>
    </row>
    <row r="431" spans="2:22" x14ac:dyDescent="0.25">
      <c r="B431" s="313" t="s">
        <v>251</v>
      </c>
      <c r="C431" s="269">
        <v>0.01</v>
      </c>
      <c r="D431" s="269">
        <v>0.01</v>
      </c>
      <c r="E431" s="269">
        <v>0.01</v>
      </c>
      <c r="F431" s="269">
        <v>0.01</v>
      </c>
      <c r="G431" s="269">
        <v>0.01</v>
      </c>
      <c r="H431" s="269">
        <v>1.4999999999999999E-2</v>
      </c>
      <c r="I431" s="269">
        <v>1.4999999999999999E-2</v>
      </c>
      <c r="J431" s="269">
        <v>1.4999999999999999E-2</v>
      </c>
      <c r="K431" s="269">
        <v>1.4999999999999999E-2</v>
      </c>
      <c r="L431" s="269">
        <v>1.4999999999999999E-2</v>
      </c>
      <c r="M431" s="269">
        <v>1.4999999999999999E-2</v>
      </c>
      <c r="N431" s="269">
        <v>1.4999999999999999E-2</v>
      </c>
      <c r="O431" s="269">
        <v>1.4999999999999999E-2</v>
      </c>
      <c r="P431" s="269">
        <v>1.4999999999999999E-2</v>
      </c>
      <c r="Q431" s="269">
        <v>1.4999999999999999E-2</v>
      </c>
      <c r="R431" s="269">
        <v>1.4999999999999999E-2</v>
      </c>
      <c r="S431" s="269">
        <v>0.02</v>
      </c>
      <c r="T431" s="269">
        <v>0.02</v>
      </c>
      <c r="U431" s="269">
        <v>0.02</v>
      </c>
      <c r="V431" s="270" t="s">
        <v>658</v>
      </c>
    </row>
    <row r="432" spans="2:22" x14ac:dyDescent="0.25">
      <c r="B432" s="313" t="s">
        <v>253</v>
      </c>
      <c r="C432" s="269">
        <v>1E-3</v>
      </c>
      <c r="D432" s="269">
        <v>1E-3</v>
      </c>
      <c r="E432" s="269">
        <v>1E-3</v>
      </c>
      <c r="F432" s="269">
        <v>1E-3</v>
      </c>
      <c r="G432" s="269">
        <v>1E-3</v>
      </c>
      <c r="H432" s="269">
        <v>5.0000000000000001E-3</v>
      </c>
      <c r="I432" s="269">
        <v>5.0000000000000001E-3</v>
      </c>
      <c r="J432" s="269">
        <v>5.0000000000000001E-3</v>
      </c>
      <c r="K432" s="269">
        <v>5.0000000000000001E-3</v>
      </c>
      <c r="L432" s="269">
        <v>5.0000000000000001E-3</v>
      </c>
      <c r="M432" s="269">
        <v>5.0000000000000001E-3</v>
      </c>
      <c r="N432" s="269">
        <v>5.0000000000000001E-3</v>
      </c>
      <c r="O432" s="269">
        <v>5.0000000000000001E-3</v>
      </c>
      <c r="P432" s="269">
        <v>5.0000000000000001E-3</v>
      </c>
      <c r="Q432" s="269">
        <v>5.0000000000000001E-3</v>
      </c>
      <c r="R432" s="269">
        <v>5.0000000000000001E-3</v>
      </c>
      <c r="S432" s="269">
        <v>0.01</v>
      </c>
      <c r="T432" s="269">
        <v>0.01</v>
      </c>
      <c r="U432" s="269">
        <v>0.01</v>
      </c>
      <c r="V432" s="270" t="s">
        <v>659</v>
      </c>
    </row>
    <row r="433" spans="2:22" ht="37.5" x14ac:dyDescent="0.25">
      <c r="B433" s="313" t="s">
        <v>254</v>
      </c>
      <c r="C433" s="269">
        <v>0.02</v>
      </c>
      <c r="D433" s="269">
        <v>0.02</v>
      </c>
      <c r="E433" s="269">
        <v>0.02</v>
      </c>
      <c r="F433" s="269">
        <v>0.02</v>
      </c>
      <c r="G433" s="269">
        <v>0.02</v>
      </c>
      <c r="H433" s="269">
        <v>0.04</v>
      </c>
      <c r="I433" s="269">
        <v>0.04</v>
      </c>
      <c r="J433" s="269">
        <v>0.04</v>
      </c>
      <c r="K433" s="269">
        <v>0.04</v>
      </c>
      <c r="L433" s="269">
        <v>0.04</v>
      </c>
      <c r="M433" s="269">
        <v>0.04</v>
      </c>
      <c r="N433" s="269">
        <v>0.04</v>
      </c>
      <c r="O433" s="269">
        <v>0.04</v>
      </c>
      <c r="P433" s="269">
        <v>0.04</v>
      </c>
      <c r="Q433" s="269">
        <v>0.04</v>
      </c>
      <c r="R433" s="269">
        <v>0.04</v>
      </c>
      <c r="S433" s="269">
        <v>0.05</v>
      </c>
      <c r="T433" s="269">
        <v>0.05</v>
      </c>
      <c r="U433" s="269">
        <v>0.05</v>
      </c>
      <c r="V433" s="270" t="s">
        <v>660</v>
      </c>
    </row>
    <row r="434" spans="2:22" x14ac:dyDescent="0.25">
      <c r="B434" s="313" t="s">
        <v>255</v>
      </c>
      <c r="C434" s="269">
        <v>0.01</v>
      </c>
      <c r="D434" s="269">
        <v>0.01</v>
      </c>
      <c r="E434" s="269">
        <v>0.01</v>
      </c>
      <c r="F434" s="269">
        <v>0.01</v>
      </c>
      <c r="G434" s="269">
        <v>0.01</v>
      </c>
      <c r="H434" s="269">
        <v>1.4999999999999999E-2</v>
      </c>
      <c r="I434" s="269">
        <v>1.4999999999999999E-2</v>
      </c>
      <c r="J434" s="269">
        <v>1.4999999999999999E-2</v>
      </c>
      <c r="K434" s="269">
        <v>1.4999999999999999E-2</v>
      </c>
      <c r="L434" s="269">
        <v>1.4999999999999999E-2</v>
      </c>
      <c r="M434" s="269">
        <v>1.4999999999999999E-2</v>
      </c>
      <c r="N434" s="269">
        <v>1.4999999999999999E-2</v>
      </c>
      <c r="O434" s="269">
        <v>1.4999999999999999E-2</v>
      </c>
      <c r="P434" s="269">
        <v>1.4999999999999999E-2</v>
      </c>
      <c r="Q434" s="269">
        <v>1.4999999999999999E-2</v>
      </c>
      <c r="R434" s="269">
        <v>1.4999999999999999E-2</v>
      </c>
      <c r="S434" s="269">
        <v>0.02</v>
      </c>
      <c r="T434" s="269">
        <v>0.02</v>
      </c>
      <c r="U434" s="269">
        <v>0.02</v>
      </c>
      <c r="V434" s="270" t="s">
        <v>658</v>
      </c>
    </row>
    <row r="435" spans="2:22" ht="37.5" x14ac:dyDescent="0.25">
      <c r="B435" s="313" t="s">
        <v>661</v>
      </c>
      <c r="C435" s="269">
        <v>0.1</v>
      </c>
      <c r="D435" s="269">
        <v>0.11</v>
      </c>
      <c r="E435" s="269">
        <v>0.13</v>
      </c>
      <c r="F435" s="269">
        <v>0.14000000000000001</v>
      </c>
      <c r="G435" s="269">
        <v>0.15</v>
      </c>
      <c r="H435" s="269">
        <v>0.17</v>
      </c>
      <c r="I435" s="269">
        <v>0.18</v>
      </c>
      <c r="J435" s="269">
        <v>0.2</v>
      </c>
      <c r="K435" s="269">
        <v>0.22</v>
      </c>
      <c r="L435" s="269">
        <v>0.24</v>
      </c>
      <c r="M435" s="269">
        <v>0.26</v>
      </c>
      <c r="N435" s="269">
        <v>0.28999999999999998</v>
      </c>
      <c r="O435" s="269">
        <v>0.31</v>
      </c>
      <c r="P435" s="269">
        <v>0.34</v>
      </c>
      <c r="Q435" s="269">
        <v>0.37</v>
      </c>
      <c r="R435" s="269">
        <v>0.41</v>
      </c>
      <c r="S435" s="269">
        <v>0.44</v>
      </c>
      <c r="T435" s="269">
        <v>0.48</v>
      </c>
      <c r="U435" s="269">
        <v>0.5</v>
      </c>
      <c r="V435" s="270" t="s">
        <v>662</v>
      </c>
    </row>
    <row r="436" spans="2:22" x14ac:dyDescent="0.25">
      <c r="B436" s="313" t="s">
        <v>663</v>
      </c>
      <c r="C436" s="269">
        <v>0.17</v>
      </c>
      <c r="D436" s="269">
        <v>0.19</v>
      </c>
      <c r="E436" s="269">
        <v>0.2</v>
      </c>
      <c r="F436" s="269">
        <v>0.22</v>
      </c>
      <c r="G436" s="269">
        <v>0.25</v>
      </c>
      <c r="H436" s="269">
        <v>0.27</v>
      </c>
      <c r="I436" s="269">
        <v>0.28999999999999998</v>
      </c>
      <c r="J436" s="269">
        <v>0.32</v>
      </c>
      <c r="K436" s="269">
        <v>0.35</v>
      </c>
      <c r="L436" s="269">
        <v>0.39</v>
      </c>
      <c r="M436" s="269">
        <v>0.42</v>
      </c>
      <c r="N436" s="269">
        <v>0.46</v>
      </c>
      <c r="O436" s="269">
        <v>0.5</v>
      </c>
      <c r="P436" s="269">
        <v>0.55000000000000004</v>
      </c>
      <c r="Q436" s="269">
        <v>0.6</v>
      </c>
      <c r="R436" s="269">
        <v>0.65</v>
      </c>
      <c r="S436" s="269">
        <v>0.71</v>
      </c>
      <c r="T436" s="269">
        <v>0.78</v>
      </c>
      <c r="U436" s="269">
        <v>0.8</v>
      </c>
      <c r="V436" s="270" t="s">
        <v>664</v>
      </c>
    </row>
    <row r="437" spans="2:22" ht="37.5" x14ac:dyDescent="0.25">
      <c r="B437" s="313" t="s">
        <v>365</v>
      </c>
      <c r="C437" s="269">
        <v>0.66</v>
      </c>
      <c r="D437" s="269">
        <v>0.68</v>
      </c>
      <c r="E437" s="269">
        <v>0.7</v>
      </c>
      <c r="F437" s="269">
        <v>0.71</v>
      </c>
      <c r="G437" s="269">
        <v>0.73</v>
      </c>
      <c r="H437" s="269">
        <v>0.74</v>
      </c>
      <c r="I437" s="269">
        <v>0.75</v>
      </c>
      <c r="J437" s="269">
        <v>0.76</v>
      </c>
      <c r="K437" s="269">
        <v>0.77</v>
      </c>
      <c r="L437" s="269">
        <v>0.77</v>
      </c>
      <c r="M437" s="269">
        <v>0.78</v>
      </c>
      <c r="N437" s="269">
        <v>0.78</v>
      </c>
      <c r="O437" s="269">
        <v>0.78</v>
      </c>
      <c r="P437" s="269">
        <v>0.79</v>
      </c>
      <c r="Q437" s="269">
        <v>0.79</v>
      </c>
      <c r="R437" s="269">
        <v>0.79</v>
      </c>
      <c r="S437" s="269">
        <v>0.79</v>
      </c>
      <c r="T437" s="269">
        <v>0.8</v>
      </c>
      <c r="U437" s="269">
        <v>0.8</v>
      </c>
      <c r="V437" s="270" t="s">
        <v>665</v>
      </c>
    </row>
    <row r="438" spans="2:22" ht="25" x14ac:dyDescent="0.25">
      <c r="B438" s="313" t="s">
        <v>256</v>
      </c>
      <c r="C438" s="269">
        <v>0.03</v>
      </c>
      <c r="D438" s="269">
        <v>0.03</v>
      </c>
      <c r="E438" s="269">
        <v>0.03</v>
      </c>
      <c r="F438" s="269">
        <v>0.03</v>
      </c>
      <c r="G438" s="269">
        <v>0.03</v>
      </c>
      <c r="H438" s="269">
        <v>0.03</v>
      </c>
      <c r="I438" s="269">
        <v>0.03</v>
      </c>
      <c r="J438" s="269">
        <v>0.03</v>
      </c>
      <c r="K438" s="269">
        <v>0.03</v>
      </c>
      <c r="L438" s="269">
        <v>0.03</v>
      </c>
      <c r="M438" s="269">
        <v>0.03</v>
      </c>
      <c r="N438" s="269">
        <v>0.03</v>
      </c>
      <c r="O438" s="269">
        <v>0.03</v>
      </c>
      <c r="P438" s="269">
        <v>0.03</v>
      </c>
      <c r="Q438" s="269">
        <v>0.03</v>
      </c>
      <c r="R438" s="269">
        <v>0.03</v>
      </c>
      <c r="S438" s="269">
        <v>0.03</v>
      </c>
      <c r="T438" s="269">
        <v>0.03</v>
      </c>
      <c r="U438" s="269">
        <v>0.03</v>
      </c>
      <c r="V438" s="270" t="s">
        <v>666</v>
      </c>
    </row>
    <row r="439" spans="2:22" ht="25" x14ac:dyDescent="0.25">
      <c r="B439" s="314" t="s">
        <v>257</v>
      </c>
      <c r="C439" s="271">
        <v>0.17</v>
      </c>
      <c r="D439" s="271">
        <v>0.19</v>
      </c>
      <c r="E439" s="271">
        <v>0.2</v>
      </c>
      <c r="F439" s="271">
        <v>0.22</v>
      </c>
      <c r="G439" s="271">
        <v>0.25</v>
      </c>
      <c r="H439" s="271">
        <v>0.27</v>
      </c>
      <c r="I439" s="271">
        <v>0.28999999999999998</v>
      </c>
      <c r="J439" s="271">
        <v>0.32</v>
      </c>
      <c r="K439" s="271">
        <v>0.35</v>
      </c>
      <c r="L439" s="271">
        <v>0.39</v>
      </c>
      <c r="M439" s="271">
        <v>0.42</v>
      </c>
      <c r="N439" s="271">
        <v>0.46</v>
      </c>
      <c r="O439" s="271">
        <v>0.5</v>
      </c>
      <c r="P439" s="271">
        <v>0.55000000000000004</v>
      </c>
      <c r="Q439" s="271">
        <v>0.6</v>
      </c>
      <c r="R439" s="271">
        <v>0.65</v>
      </c>
      <c r="S439" s="271">
        <v>0.71</v>
      </c>
      <c r="T439" s="271">
        <v>0.78</v>
      </c>
      <c r="U439" s="271">
        <v>0.8</v>
      </c>
      <c r="V439" s="270" t="s">
        <v>667</v>
      </c>
    </row>
    <row r="440" spans="2:22" ht="25" x14ac:dyDescent="0.25">
      <c r="B440" s="313" t="s">
        <v>542</v>
      </c>
      <c r="C440" s="269" t="s">
        <v>668</v>
      </c>
      <c r="D440" s="269" t="s">
        <v>668</v>
      </c>
      <c r="E440" s="269" t="s">
        <v>668</v>
      </c>
      <c r="F440" s="269" t="s">
        <v>668</v>
      </c>
      <c r="G440" s="269" t="s">
        <v>668</v>
      </c>
      <c r="H440" s="269" t="s">
        <v>668</v>
      </c>
      <c r="I440" s="269" t="s">
        <v>668</v>
      </c>
      <c r="J440" s="269" t="s">
        <v>668</v>
      </c>
      <c r="K440" s="269" t="s">
        <v>668</v>
      </c>
      <c r="L440" s="269" t="s">
        <v>668</v>
      </c>
      <c r="M440" s="269" t="s">
        <v>668</v>
      </c>
      <c r="N440" s="269" t="s">
        <v>668</v>
      </c>
      <c r="O440" s="269" t="s">
        <v>668</v>
      </c>
      <c r="P440" s="269" t="s">
        <v>668</v>
      </c>
      <c r="Q440" s="269" t="s">
        <v>668</v>
      </c>
      <c r="R440" s="269" t="s">
        <v>668</v>
      </c>
      <c r="S440" s="269" t="s">
        <v>668</v>
      </c>
      <c r="T440" s="269" t="s">
        <v>668</v>
      </c>
      <c r="U440" s="269" t="s">
        <v>668</v>
      </c>
      <c r="V440" s="270" t="s">
        <v>669</v>
      </c>
    </row>
    <row r="441" spans="2:22" x14ac:dyDescent="0.25">
      <c r="B441" s="313" t="s">
        <v>263</v>
      </c>
      <c r="C441" s="269">
        <v>0.1</v>
      </c>
      <c r="D441" s="269">
        <v>0.1</v>
      </c>
      <c r="E441" s="269">
        <v>0.1</v>
      </c>
      <c r="F441" s="269">
        <v>0.1</v>
      </c>
      <c r="G441" s="269">
        <v>0.1</v>
      </c>
      <c r="H441" s="269">
        <v>0.1</v>
      </c>
      <c r="I441" s="269">
        <v>0.1</v>
      </c>
      <c r="J441" s="269">
        <v>0.1</v>
      </c>
      <c r="K441" s="269">
        <v>0.1</v>
      </c>
      <c r="L441" s="269">
        <v>0.1</v>
      </c>
      <c r="M441" s="269">
        <v>0.1</v>
      </c>
      <c r="N441" s="269">
        <v>0.1</v>
      </c>
      <c r="O441" s="269">
        <v>0.1</v>
      </c>
      <c r="P441" s="269">
        <v>0.1</v>
      </c>
      <c r="Q441" s="269">
        <v>0.1</v>
      </c>
      <c r="R441" s="269">
        <v>0.1</v>
      </c>
      <c r="S441" s="269">
        <v>0.1</v>
      </c>
      <c r="T441" s="269">
        <v>0.1</v>
      </c>
      <c r="U441" s="269">
        <v>0.1</v>
      </c>
      <c r="V441" s="270" t="s">
        <v>670</v>
      </c>
    </row>
    <row r="442" spans="2:22" ht="25" x14ac:dyDescent="0.25">
      <c r="B442" s="313" t="s">
        <v>671</v>
      </c>
      <c r="C442" s="269">
        <v>0.03</v>
      </c>
      <c r="D442" s="269">
        <v>0.03</v>
      </c>
      <c r="E442" s="269">
        <v>0.03</v>
      </c>
      <c r="F442" s="269">
        <v>0.03</v>
      </c>
      <c r="G442" s="269">
        <v>0.03</v>
      </c>
      <c r="H442" s="269">
        <v>0.03</v>
      </c>
      <c r="I442" s="269">
        <v>0.03</v>
      </c>
      <c r="J442" s="269">
        <v>0.03</v>
      </c>
      <c r="K442" s="269">
        <v>0.03</v>
      </c>
      <c r="L442" s="269">
        <v>0.03</v>
      </c>
      <c r="M442" s="269">
        <v>0.03</v>
      </c>
      <c r="N442" s="269">
        <v>0.03</v>
      </c>
      <c r="O442" s="269">
        <v>0.03</v>
      </c>
      <c r="P442" s="269">
        <v>0.03</v>
      </c>
      <c r="Q442" s="269">
        <v>0.03</v>
      </c>
      <c r="R442" s="269">
        <v>0.03</v>
      </c>
      <c r="S442" s="269">
        <v>0.3</v>
      </c>
      <c r="T442" s="269">
        <v>0.3</v>
      </c>
      <c r="U442" s="269">
        <v>0.3</v>
      </c>
      <c r="V442" s="270" t="s">
        <v>672</v>
      </c>
    </row>
    <row r="443" spans="2:22" ht="25" x14ac:dyDescent="0.25">
      <c r="B443" s="313" t="s">
        <v>673</v>
      </c>
      <c r="C443" s="269">
        <v>0.17</v>
      </c>
      <c r="D443" s="269">
        <v>0.19</v>
      </c>
      <c r="E443" s="269">
        <v>0.2</v>
      </c>
      <c r="F443" s="269">
        <v>0.22</v>
      </c>
      <c r="G443" s="269">
        <v>0.25</v>
      </c>
      <c r="H443" s="269">
        <v>0.27</v>
      </c>
      <c r="I443" s="269">
        <v>0.28999999999999998</v>
      </c>
      <c r="J443" s="269">
        <v>0.32</v>
      </c>
      <c r="K443" s="269">
        <v>0.35</v>
      </c>
      <c r="L443" s="269">
        <v>0.39</v>
      </c>
      <c r="M443" s="269">
        <v>0.42</v>
      </c>
      <c r="N443" s="269">
        <v>0.46</v>
      </c>
      <c r="O443" s="269">
        <v>0.5</v>
      </c>
      <c r="P443" s="269">
        <v>0.55000000000000004</v>
      </c>
      <c r="Q443" s="269">
        <v>0.6</v>
      </c>
      <c r="R443" s="269">
        <v>0.65</v>
      </c>
      <c r="S443" s="269">
        <v>0.71</v>
      </c>
      <c r="T443" s="269">
        <v>0.78</v>
      </c>
      <c r="U443" s="269">
        <v>0.9</v>
      </c>
      <c r="V443" s="270" t="s">
        <v>674</v>
      </c>
    </row>
    <row r="444" spans="2:22" ht="25" x14ac:dyDescent="0.25">
      <c r="B444" s="313" t="s">
        <v>260</v>
      </c>
      <c r="C444" s="269">
        <v>5.0000000000000001E-3</v>
      </c>
      <c r="D444" s="269">
        <v>5.0000000000000001E-3</v>
      </c>
      <c r="E444" s="269">
        <v>5.0000000000000001E-3</v>
      </c>
      <c r="F444" s="269">
        <v>5.0000000000000001E-3</v>
      </c>
      <c r="G444" s="269">
        <v>5.0000000000000001E-3</v>
      </c>
      <c r="H444" s="269">
        <v>5.0000000000000001E-3</v>
      </c>
      <c r="I444" s="269">
        <v>5.0000000000000001E-3</v>
      </c>
      <c r="J444" s="269">
        <v>5.0000000000000001E-3</v>
      </c>
      <c r="K444" s="269">
        <v>5.0000000000000001E-3</v>
      </c>
      <c r="L444" s="269">
        <v>5.0000000000000001E-3</v>
      </c>
      <c r="M444" s="269">
        <v>5.0000000000000001E-3</v>
      </c>
      <c r="N444" s="269">
        <v>5.0000000000000001E-3</v>
      </c>
      <c r="O444" s="269">
        <v>5.0000000000000001E-3</v>
      </c>
      <c r="P444" s="269">
        <v>5.0000000000000001E-3</v>
      </c>
      <c r="Q444" s="269">
        <v>5.0000000000000001E-3</v>
      </c>
      <c r="R444" s="269">
        <v>5.0000000000000001E-3</v>
      </c>
      <c r="S444" s="269">
        <v>5.0000000000000001E-3</v>
      </c>
      <c r="T444" s="269">
        <v>5.0000000000000001E-3</v>
      </c>
      <c r="U444" s="269">
        <v>5.0000000000000001E-3</v>
      </c>
      <c r="V444" s="270" t="s">
        <v>675</v>
      </c>
    </row>
    <row r="445" spans="2:22" ht="25" x14ac:dyDescent="0.25">
      <c r="B445" s="313" t="s">
        <v>261</v>
      </c>
      <c r="C445" s="269">
        <v>5.0000000000000001E-3</v>
      </c>
      <c r="D445" s="269">
        <v>5.0000000000000001E-3</v>
      </c>
      <c r="E445" s="269">
        <v>5.0000000000000001E-3</v>
      </c>
      <c r="F445" s="269">
        <v>5.0000000000000001E-3</v>
      </c>
      <c r="G445" s="269">
        <v>5.0000000000000001E-3</v>
      </c>
      <c r="H445" s="269">
        <v>0.01</v>
      </c>
      <c r="I445" s="269">
        <v>0.01</v>
      </c>
      <c r="J445" s="269">
        <v>0.01</v>
      </c>
      <c r="K445" s="269">
        <v>0.01</v>
      </c>
      <c r="L445" s="269">
        <v>0.01</v>
      </c>
      <c r="M445" s="269">
        <v>0.01</v>
      </c>
      <c r="N445" s="269">
        <v>0.01</v>
      </c>
      <c r="O445" s="269">
        <v>0.01</v>
      </c>
      <c r="P445" s="269">
        <v>0.01</v>
      </c>
      <c r="Q445" s="269">
        <v>0.01</v>
      </c>
      <c r="R445" s="269">
        <v>0.01</v>
      </c>
      <c r="S445" s="269">
        <v>1.4999999999999999E-2</v>
      </c>
      <c r="T445" s="269">
        <v>1.4999999999999999E-2</v>
      </c>
      <c r="U445" s="269">
        <v>1.4999999999999999E-2</v>
      </c>
      <c r="V445" s="270" t="s">
        <v>676</v>
      </c>
    </row>
    <row r="446" spans="2:22" ht="38" thickBot="1" x14ac:dyDescent="0.3">
      <c r="B446" s="315" t="s">
        <v>262</v>
      </c>
      <c r="C446" s="272">
        <v>0</v>
      </c>
      <c r="D446" s="272">
        <v>0</v>
      </c>
      <c r="E446" s="272">
        <v>0</v>
      </c>
      <c r="F446" s="272">
        <v>0</v>
      </c>
      <c r="G446" s="272">
        <v>0</v>
      </c>
      <c r="H446" s="272">
        <v>0</v>
      </c>
      <c r="I446" s="272">
        <v>0</v>
      </c>
      <c r="J446" s="272">
        <v>0</v>
      </c>
      <c r="K446" s="272">
        <v>0</v>
      </c>
      <c r="L446" s="272">
        <v>0</v>
      </c>
      <c r="M446" s="272">
        <v>0</v>
      </c>
      <c r="N446" s="272">
        <v>0</v>
      </c>
      <c r="O446" s="272">
        <v>0</v>
      </c>
      <c r="P446" s="272">
        <v>0</v>
      </c>
      <c r="Q446" s="272">
        <v>0</v>
      </c>
      <c r="R446" s="272">
        <v>0</v>
      </c>
      <c r="S446" s="272">
        <v>0</v>
      </c>
      <c r="T446" s="272">
        <v>0</v>
      </c>
      <c r="U446" s="272">
        <v>0</v>
      </c>
      <c r="V446" s="273" t="s">
        <v>677</v>
      </c>
    </row>
    <row r="447" spans="2:22" ht="13" x14ac:dyDescent="0.3">
      <c r="B447" s="3"/>
    </row>
    <row r="448" spans="2:22" ht="13" x14ac:dyDescent="0.25">
      <c r="B448" s="52"/>
      <c r="C448" s="54"/>
      <c r="D448" s="54"/>
    </row>
    <row r="449" spans="2:24" ht="15.5" x14ac:dyDescent="0.3">
      <c r="B449" s="291" t="s">
        <v>678</v>
      </c>
      <c r="C449" s="274"/>
      <c r="D449" s="274"/>
      <c r="E449" s="3"/>
      <c r="F449" s="3"/>
      <c r="G449" s="3"/>
      <c r="H449" s="3"/>
      <c r="I449" s="3"/>
      <c r="J449" s="3"/>
      <c r="K449" s="3"/>
      <c r="L449" s="3"/>
      <c r="M449" s="3"/>
      <c r="N449" s="3"/>
      <c r="O449" s="3"/>
      <c r="P449" s="3"/>
      <c r="Q449" s="3"/>
      <c r="R449" s="3"/>
      <c r="S449" s="3"/>
      <c r="T449" s="3"/>
      <c r="U449" s="3"/>
      <c r="V449" s="3"/>
      <c r="W449" s="3"/>
      <c r="X449" s="36"/>
    </row>
    <row r="450" spans="2:24" ht="13" x14ac:dyDescent="0.3">
      <c r="B450" s="275"/>
      <c r="H450" s="3"/>
      <c r="I450" s="3"/>
      <c r="J450" s="3"/>
      <c r="K450" s="3"/>
      <c r="L450" s="3"/>
      <c r="M450" s="3"/>
      <c r="N450" s="3"/>
      <c r="O450" s="3"/>
      <c r="P450" s="3"/>
      <c r="Q450" s="3"/>
      <c r="R450" s="3"/>
      <c r="S450" s="3"/>
      <c r="T450" s="3"/>
      <c r="U450" s="3"/>
      <c r="V450" s="3"/>
      <c r="W450" s="3"/>
      <c r="X450" s="36"/>
    </row>
    <row r="451" spans="2:24" ht="13" x14ac:dyDescent="0.3">
      <c r="B451" s="638" t="s">
        <v>679</v>
      </c>
      <c r="C451" s="643" t="s">
        <v>680</v>
      </c>
      <c r="D451" s="640" t="s">
        <v>681</v>
      </c>
      <c r="E451" s="636" t="s">
        <v>682</v>
      </c>
      <c r="F451" s="640" t="s">
        <v>683</v>
      </c>
      <c r="G451" s="640" t="s">
        <v>684</v>
      </c>
      <c r="H451" s="3"/>
      <c r="I451" s="3"/>
      <c r="J451" s="3"/>
      <c r="K451" s="3"/>
      <c r="L451" s="3"/>
      <c r="M451" s="3"/>
      <c r="N451" s="3"/>
      <c r="O451" s="3"/>
      <c r="P451" s="3"/>
      <c r="Q451" s="3"/>
      <c r="R451" s="3"/>
      <c r="S451" s="3"/>
      <c r="T451" s="3"/>
      <c r="U451" s="3"/>
      <c r="V451" s="3"/>
      <c r="W451" s="3"/>
      <c r="X451" s="36"/>
    </row>
    <row r="452" spans="2:24" ht="13" x14ac:dyDescent="0.3">
      <c r="B452" s="639"/>
      <c r="C452" s="643"/>
      <c r="D452" s="641"/>
      <c r="E452" s="637"/>
      <c r="F452" s="642"/>
      <c r="G452" s="642"/>
      <c r="H452" s="3"/>
      <c r="I452" s="3"/>
      <c r="J452" s="3"/>
      <c r="K452" s="3"/>
      <c r="L452" s="3"/>
      <c r="M452" s="3"/>
      <c r="N452" s="3"/>
      <c r="O452" s="3"/>
      <c r="P452" s="3"/>
      <c r="Q452" s="3"/>
      <c r="R452" s="3"/>
      <c r="S452" s="3"/>
      <c r="T452" s="3"/>
      <c r="U452" s="3"/>
      <c r="V452" s="3"/>
      <c r="W452" s="3"/>
      <c r="X452" s="36"/>
    </row>
    <row r="453" spans="2:24" ht="15.5" x14ac:dyDescent="0.4">
      <c r="B453" s="276" t="s">
        <v>685</v>
      </c>
      <c r="C453" s="277" t="s">
        <v>686</v>
      </c>
      <c r="D453" s="277" t="s">
        <v>687</v>
      </c>
      <c r="E453" s="277"/>
      <c r="F453" s="277" t="s">
        <v>688</v>
      </c>
      <c r="G453" s="277" t="s">
        <v>689</v>
      </c>
      <c r="H453" s="3"/>
      <c r="I453" s="3"/>
      <c r="J453" s="3"/>
      <c r="K453" s="3"/>
      <c r="L453" s="3"/>
      <c r="M453" s="3"/>
      <c r="N453" s="3"/>
      <c r="O453" s="3"/>
      <c r="P453" s="3"/>
      <c r="Q453" s="3"/>
      <c r="R453" s="3"/>
      <c r="S453" s="3"/>
      <c r="T453" s="3"/>
      <c r="U453" s="3"/>
      <c r="V453" s="3"/>
      <c r="W453" s="3"/>
      <c r="X453" s="36"/>
    </row>
    <row r="454" spans="2:24" ht="13" x14ac:dyDescent="0.3">
      <c r="B454" s="278" t="s">
        <v>690</v>
      </c>
      <c r="C454" s="279">
        <v>25.09</v>
      </c>
      <c r="D454" s="280">
        <v>28.26</v>
      </c>
      <c r="E454" s="279">
        <v>1</v>
      </c>
      <c r="F454" s="279">
        <v>103.62</v>
      </c>
      <c r="G454" s="281">
        <v>2599.83</v>
      </c>
      <c r="H454" s="3"/>
      <c r="I454" s="3"/>
      <c r="J454" s="3"/>
      <c r="K454" s="3"/>
      <c r="L454" s="3"/>
      <c r="M454" s="3"/>
      <c r="N454" s="3"/>
      <c r="O454" s="3"/>
      <c r="P454" s="3"/>
      <c r="Q454" s="3"/>
      <c r="R454" s="3"/>
      <c r="S454" s="3"/>
      <c r="T454" s="3"/>
      <c r="U454" s="3"/>
      <c r="V454" s="3"/>
      <c r="W454" s="3"/>
      <c r="X454" s="36"/>
    </row>
    <row r="455" spans="2:24" ht="13" x14ac:dyDescent="0.3">
      <c r="B455" s="282" t="s">
        <v>691</v>
      </c>
      <c r="C455" s="283">
        <v>24.93</v>
      </c>
      <c r="D455" s="264">
        <v>25.49</v>
      </c>
      <c r="E455" s="283">
        <v>1</v>
      </c>
      <c r="F455" s="283">
        <v>93.46</v>
      </c>
      <c r="G455" s="284">
        <v>2330.04</v>
      </c>
      <c r="H455" s="3"/>
      <c r="I455" s="3"/>
      <c r="J455" s="3"/>
      <c r="K455" s="3"/>
      <c r="L455" s="3"/>
      <c r="M455" s="3"/>
      <c r="N455" s="3"/>
      <c r="O455" s="3"/>
      <c r="P455" s="3"/>
      <c r="Q455" s="3"/>
      <c r="R455" s="3"/>
      <c r="S455" s="3"/>
      <c r="T455" s="3"/>
      <c r="U455" s="3"/>
      <c r="V455" s="3"/>
      <c r="W455" s="3"/>
      <c r="X455" s="36"/>
    </row>
    <row r="456" spans="2:24" ht="13" x14ac:dyDescent="0.3">
      <c r="B456" s="278" t="s">
        <v>692</v>
      </c>
      <c r="C456" s="279">
        <v>17.25</v>
      </c>
      <c r="D456" s="280">
        <v>26.48</v>
      </c>
      <c r="E456" s="279">
        <v>1</v>
      </c>
      <c r="F456" s="279">
        <v>97.09</v>
      </c>
      <c r="G456" s="281">
        <v>1674.86</v>
      </c>
      <c r="H456" s="3"/>
      <c r="I456" s="3"/>
      <c r="J456" s="3"/>
      <c r="K456" s="3"/>
      <c r="L456" s="3"/>
      <c r="M456" s="3"/>
      <c r="N456" s="3"/>
      <c r="O456" s="3"/>
      <c r="P456" s="3"/>
      <c r="Q456" s="3"/>
      <c r="R456" s="3"/>
      <c r="S456" s="3"/>
      <c r="T456" s="3"/>
      <c r="U456" s="3"/>
      <c r="V456" s="3"/>
      <c r="W456" s="3"/>
      <c r="X456" s="36"/>
    </row>
    <row r="457" spans="2:24" ht="13" x14ac:dyDescent="0.3">
      <c r="B457" s="282" t="s">
        <v>693</v>
      </c>
      <c r="C457" s="283">
        <v>14.21</v>
      </c>
      <c r="D457" s="264">
        <v>26.3</v>
      </c>
      <c r="E457" s="283">
        <v>1</v>
      </c>
      <c r="F457" s="283">
        <v>96.43</v>
      </c>
      <c r="G457" s="284">
        <v>1370.32</v>
      </c>
      <c r="H457" s="3"/>
      <c r="I457" s="3"/>
      <c r="J457" s="3"/>
      <c r="K457" s="3"/>
      <c r="L457" s="3"/>
      <c r="M457" s="3"/>
      <c r="N457" s="3"/>
      <c r="O457" s="3"/>
      <c r="P457" s="3"/>
      <c r="Q457" s="3"/>
      <c r="R457" s="3"/>
      <c r="S457" s="3"/>
      <c r="T457" s="3"/>
      <c r="U457" s="3"/>
      <c r="V457" s="3"/>
      <c r="W457" s="3"/>
      <c r="X457" s="36"/>
    </row>
    <row r="458" spans="2:24" ht="13" x14ac:dyDescent="0.3">
      <c r="B458" s="278" t="s">
        <v>694</v>
      </c>
      <c r="C458" s="279">
        <v>22.05</v>
      </c>
      <c r="D458" s="279">
        <v>26</v>
      </c>
      <c r="E458" s="279">
        <v>1</v>
      </c>
      <c r="F458" s="279">
        <v>95.33</v>
      </c>
      <c r="G458" s="281">
        <v>2102.29</v>
      </c>
      <c r="H458" s="3"/>
      <c r="I458" s="3"/>
      <c r="J458" s="3"/>
      <c r="K458" s="3"/>
      <c r="L458" s="3"/>
      <c r="M458" s="3"/>
      <c r="N458" s="3"/>
      <c r="O458" s="3"/>
      <c r="P458" s="3"/>
      <c r="Q458" s="3"/>
      <c r="R458" s="3"/>
      <c r="S458" s="3"/>
      <c r="T458" s="3"/>
      <c r="U458" s="3"/>
      <c r="V458" s="3"/>
      <c r="W458" s="3"/>
      <c r="X458" s="36"/>
    </row>
    <row r="459" spans="2:24" ht="13" x14ac:dyDescent="0.3">
      <c r="B459" s="282" t="s">
        <v>695</v>
      </c>
      <c r="C459" s="283">
        <v>26.27</v>
      </c>
      <c r="D459" s="283">
        <v>25.56</v>
      </c>
      <c r="E459" s="283">
        <v>1</v>
      </c>
      <c r="F459" s="283">
        <v>93.72</v>
      </c>
      <c r="G459" s="284">
        <v>2462.12</v>
      </c>
      <c r="H459" s="3"/>
      <c r="I459" s="3"/>
      <c r="J459" s="3"/>
      <c r="K459" s="3"/>
      <c r="L459" s="3"/>
      <c r="M459" s="3"/>
      <c r="N459" s="3"/>
      <c r="O459" s="3"/>
      <c r="P459" s="3"/>
      <c r="Q459" s="3"/>
      <c r="R459" s="3"/>
      <c r="S459" s="3"/>
      <c r="T459" s="3"/>
      <c r="U459" s="3"/>
      <c r="V459" s="3"/>
      <c r="W459" s="3"/>
      <c r="X459" s="36"/>
    </row>
    <row r="460" spans="2:24" ht="13" x14ac:dyDescent="0.3">
      <c r="B460" s="278" t="s">
        <v>696</v>
      </c>
      <c r="C460" s="279">
        <v>22.05</v>
      </c>
      <c r="D460" s="279">
        <v>25.63</v>
      </c>
      <c r="E460" s="279">
        <v>1</v>
      </c>
      <c r="F460" s="279">
        <v>93.98</v>
      </c>
      <c r="G460" s="281">
        <v>2072.19</v>
      </c>
      <c r="H460" s="3"/>
      <c r="I460" s="3"/>
      <c r="J460" s="3"/>
      <c r="K460" s="3"/>
      <c r="L460" s="3"/>
      <c r="M460" s="3"/>
      <c r="N460" s="3"/>
      <c r="O460" s="3"/>
      <c r="P460" s="3"/>
      <c r="Q460" s="3"/>
      <c r="R460" s="3"/>
      <c r="S460" s="3"/>
      <c r="T460" s="3"/>
      <c r="U460" s="3"/>
      <c r="V460" s="3"/>
      <c r="W460" s="3"/>
      <c r="X460" s="36"/>
    </row>
    <row r="461" spans="2:24" ht="13" x14ac:dyDescent="0.3">
      <c r="B461" s="282" t="s">
        <v>697</v>
      </c>
      <c r="C461" s="283">
        <v>19.95</v>
      </c>
      <c r="D461" s="283">
        <v>25.76</v>
      </c>
      <c r="E461" s="283">
        <v>1</v>
      </c>
      <c r="F461" s="283">
        <v>94.45</v>
      </c>
      <c r="G461" s="284">
        <v>1884.53</v>
      </c>
      <c r="H461" s="3"/>
      <c r="I461" s="3"/>
      <c r="J461" s="3"/>
      <c r="K461" s="3"/>
      <c r="L461" s="3"/>
      <c r="M461" s="3"/>
      <c r="N461" s="3"/>
      <c r="O461" s="3"/>
      <c r="P461" s="3"/>
      <c r="Q461" s="3"/>
      <c r="R461" s="3"/>
      <c r="S461" s="3"/>
      <c r="T461" s="3"/>
      <c r="U461" s="3"/>
      <c r="V461" s="3"/>
      <c r="W461" s="3"/>
      <c r="X461" s="36"/>
    </row>
    <row r="462" spans="2:24" ht="13" x14ac:dyDescent="0.3">
      <c r="B462" s="278" t="s">
        <v>698</v>
      </c>
      <c r="C462" s="279">
        <v>24.8</v>
      </c>
      <c r="D462" s="279">
        <v>31</v>
      </c>
      <c r="E462" s="279">
        <v>1</v>
      </c>
      <c r="F462" s="279">
        <v>113.67</v>
      </c>
      <c r="G462" s="281">
        <v>2818.93</v>
      </c>
      <c r="H462" s="3"/>
      <c r="I462" s="3"/>
      <c r="J462" s="3"/>
      <c r="K462" s="3"/>
      <c r="L462" s="3"/>
      <c r="M462" s="3"/>
      <c r="N462" s="3"/>
      <c r="O462" s="3"/>
      <c r="P462" s="3"/>
      <c r="Q462" s="3"/>
      <c r="R462" s="3"/>
      <c r="S462" s="3"/>
      <c r="T462" s="3"/>
      <c r="U462" s="3"/>
      <c r="V462" s="3"/>
      <c r="W462" s="3"/>
      <c r="X462" s="36"/>
    </row>
    <row r="463" spans="2:24" ht="16" x14ac:dyDescent="0.4">
      <c r="B463" s="276" t="s">
        <v>699</v>
      </c>
      <c r="C463" s="277" t="s">
        <v>700</v>
      </c>
      <c r="D463" s="277" t="s">
        <v>687</v>
      </c>
      <c r="E463" s="277"/>
      <c r="F463" s="277" t="s">
        <v>688</v>
      </c>
      <c r="G463" s="277" t="s">
        <v>701</v>
      </c>
      <c r="H463" s="3"/>
      <c r="I463" s="3"/>
      <c r="J463" s="3"/>
      <c r="K463" s="3"/>
      <c r="L463" s="3"/>
      <c r="M463" s="3"/>
      <c r="N463" s="3"/>
      <c r="O463" s="3"/>
      <c r="P463" s="3"/>
      <c r="Q463" s="3"/>
      <c r="R463" s="3"/>
      <c r="S463" s="3"/>
      <c r="T463" s="3"/>
      <c r="U463" s="3"/>
      <c r="V463" s="3"/>
      <c r="W463" s="3"/>
      <c r="X463" s="36"/>
    </row>
    <row r="464" spans="2:24" ht="13" x14ac:dyDescent="0.3">
      <c r="B464" s="278" t="s">
        <v>702</v>
      </c>
      <c r="C464" s="279" t="s">
        <v>703</v>
      </c>
      <c r="D464" s="279">
        <v>14.73</v>
      </c>
      <c r="E464" s="280">
        <v>1</v>
      </c>
      <c r="F464" s="280">
        <v>54.01</v>
      </c>
      <c r="G464" s="280" t="s">
        <v>704</v>
      </c>
      <c r="H464" s="3"/>
      <c r="I464" s="3"/>
      <c r="J464" s="3"/>
      <c r="K464" s="3"/>
      <c r="L464" s="3"/>
      <c r="M464" s="3"/>
      <c r="N464" s="3"/>
      <c r="O464" s="3"/>
      <c r="P464" s="3"/>
      <c r="Q464" s="3"/>
      <c r="R464" s="3"/>
      <c r="S464" s="3"/>
      <c r="T464" s="3"/>
      <c r="U464" s="3"/>
      <c r="V464" s="3"/>
      <c r="W464" s="3"/>
      <c r="X464" s="36"/>
    </row>
    <row r="465" spans="2:24" ht="13" x14ac:dyDescent="0.3">
      <c r="B465" s="282" t="s">
        <v>705</v>
      </c>
      <c r="C465" s="283" t="s">
        <v>706</v>
      </c>
      <c r="D465" s="283">
        <v>14.43</v>
      </c>
      <c r="E465" s="264">
        <v>1</v>
      </c>
      <c r="F465" s="264">
        <v>52.91</v>
      </c>
      <c r="G465" s="264" t="s">
        <v>704</v>
      </c>
      <c r="H465" s="3"/>
      <c r="I465" s="3"/>
      <c r="J465" s="3"/>
      <c r="K465" s="3"/>
      <c r="L465" s="3"/>
      <c r="M465" s="3"/>
      <c r="N465" s="3"/>
      <c r="O465" s="3"/>
      <c r="P465" s="3"/>
      <c r="Q465" s="3"/>
      <c r="R465" s="3"/>
      <c r="S465" s="3"/>
      <c r="T465" s="3"/>
      <c r="U465" s="3"/>
      <c r="V465" s="3"/>
      <c r="W465" s="3"/>
      <c r="X465" s="36"/>
    </row>
    <row r="466" spans="2:24" ht="13" x14ac:dyDescent="0.3">
      <c r="B466" s="278" t="s">
        <v>707</v>
      </c>
      <c r="C466" s="279" t="s">
        <v>708</v>
      </c>
      <c r="D466" s="279">
        <v>14.47</v>
      </c>
      <c r="E466" s="280">
        <v>1</v>
      </c>
      <c r="F466" s="280">
        <v>53.06</v>
      </c>
      <c r="G466" s="280" t="s">
        <v>704</v>
      </c>
      <c r="H466" s="3"/>
      <c r="I466" s="3"/>
      <c r="J466" s="3"/>
      <c r="K466" s="3"/>
      <c r="L466" s="3"/>
      <c r="M466" s="3"/>
      <c r="N466" s="3"/>
      <c r="O466" s="3"/>
      <c r="P466" s="3"/>
      <c r="Q466" s="3"/>
      <c r="R466" s="3"/>
      <c r="S466" s="3"/>
      <c r="T466" s="3"/>
      <c r="U466" s="3"/>
      <c r="V466" s="3"/>
      <c r="W466" s="3"/>
      <c r="X466" s="36"/>
    </row>
    <row r="467" spans="2:24" ht="13" x14ac:dyDescent="0.3">
      <c r="B467" s="282" t="s">
        <v>709</v>
      </c>
      <c r="C467" s="283" t="s">
        <v>710</v>
      </c>
      <c r="D467" s="283">
        <v>14.58</v>
      </c>
      <c r="E467" s="264">
        <v>1</v>
      </c>
      <c r="F467" s="264">
        <v>53.46</v>
      </c>
      <c r="G467" s="264" t="s">
        <v>704</v>
      </c>
      <c r="H467" s="3"/>
      <c r="I467" s="3"/>
      <c r="J467" s="3"/>
      <c r="K467" s="3"/>
      <c r="L467" s="3"/>
      <c r="M467" s="3"/>
      <c r="N467" s="3"/>
      <c r="O467" s="3"/>
      <c r="P467" s="3"/>
      <c r="Q467" s="3"/>
      <c r="R467" s="3"/>
      <c r="S467" s="3"/>
      <c r="T467" s="3"/>
      <c r="U467" s="3"/>
      <c r="V467" s="3"/>
      <c r="W467" s="3"/>
      <c r="X467" s="36"/>
    </row>
    <row r="468" spans="2:24" ht="13" x14ac:dyDescent="0.3">
      <c r="B468" s="278" t="s">
        <v>711</v>
      </c>
      <c r="C468" s="279" t="s">
        <v>712</v>
      </c>
      <c r="D468" s="279">
        <v>14.65</v>
      </c>
      <c r="E468" s="280">
        <v>1</v>
      </c>
      <c r="F468" s="280">
        <v>53.72</v>
      </c>
      <c r="G468" s="280" t="s">
        <v>704</v>
      </c>
      <c r="H468" s="3"/>
      <c r="I468" s="3"/>
      <c r="J468" s="3"/>
      <c r="K468" s="3"/>
      <c r="L468" s="3"/>
      <c r="M468" s="3"/>
      <c r="N468" s="3"/>
      <c r="O468" s="3"/>
      <c r="P468" s="3"/>
      <c r="Q468" s="3"/>
      <c r="R468" s="3"/>
      <c r="S468" s="3"/>
      <c r="T468" s="3"/>
      <c r="U468" s="3"/>
      <c r="V468" s="3"/>
      <c r="W468" s="3"/>
      <c r="X468" s="36"/>
    </row>
    <row r="469" spans="2:24" ht="13" x14ac:dyDescent="0.3">
      <c r="B469" s="282" t="s">
        <v>713</v>
      </c>
      <c r="C469" s="283" t="s">
        <v>714</v>
      </c>
      <c r="D469" s="283">
        <v>14.92</v>
      </c>
      <c r="E469" s="264">
        <v>1</v>
      </c>
      <c r="F469" s="264">
        <v>54.71</v>
      </c>
      <c r="G469" s="264" t="s">
        <v>704</v>
      </c>
      <c r="H469" s="3"/>
      <c r="I469" s="3"/>
      <c r="J469" s="3"/>
      <c r="K469" s="3"/>
      <c r="L469" s="3"/>
      <c r="M469" s="3"/>
      <c r="N469" s="3"/>
      <c r="O469" s="3"/>
      <c r="P469" s="3"/>
      <c r="Q469" s="3"/>
      <c r="R469" s="3"/>
      <c r="S469" s="3"/>
      <c r="T469" s="3"/>
      <c r="U469" s="3"/>
      <c r="V469" s="3"/>
      <c r="W469" s="3"/>
      <c r="X469" s="36"/>
    </row>
    <row r="470" spans="2:24" ht="13" x14ac:dyDescent="0.3">
      <c r="B470" s="278" t="s">
        <v>293</v>
      </c>
      <c r="C470" s="285">
        <v>1029</v>
      </c>
      <c r="D470" s="279">
        <v>14.47</v>
      </c>
      <c r="E470" s="280">
        <v>1</v>
      </c>
      <c r="F470" s="280">
        <v>53.06</v>
      </c>
      <c r="G470" s="280">
        <v>5.4600000000000003E-2</v>
      </c>
      <c r="H470" s="3"/>
      <c r="I470" s="3"/>
      <c r="J470" s="3"/>
      <c r="K470" s="3"/>
      <c r="L470" s="3"/>
      <c r="M470" s="3"/>
      <c r="N470" s="3"/>
      <c r="O470" s="3"/>
      <c r="P470" s="3"/>
      <c r="Q470" s="3"/>
      <c r="R470" s="3"/>
      <c r="S470" s="3"/>
      <c r="T470" s="3"/>
      <c r="U470" s="3"/>
      <c r="V470" s="3"/>
      <c r="W470" s="3"/>
      <c r="X470" s="36"/>
    </row>
    <row r="471" spans="2:24" ht="15.5" x14ac:dyDescent="0.4">
      <c r="B471" s="276" t="s">
        <v>715</v>
      </c>
      <c r="C471" s="277" t="s">
        <v>716</v>
      </c>
      <c r="D471" s="277" t="s">
        <v>687</v>
      </c>
      <c r="E471" s="277"/>
      <c r="F471" s="277" t="s">
        <v>688</v>
      </c>
      <c r="G471" s="277" t="s">
        <v>717</v>
      </c>
      <c r="H471" s="3"/>
      <c r="I471" s="3"/>
      <c r="J471" s="3"/>
      <c r="K471" s="3"/>
      <c r="L471" s="3"/>
      <c r="M471" s="3"/>
      <c r="N471" s="3"/>
      <c r="O471" s="3"/>
      <c r="P471" s="3"/>
      <c r="Q471" s="3"/>
      <c r="R471" s="3"/>
      <c r="S471" s="3"/>
      <c r="T471" s="3"/>
      <c r="U471" s="3"/>
      <c r="V471" s="3"/>
      <c r="W471" s="3"/>
      <c r="X471" s="36"/>
    </row>
    <row r="472" spans="2:24" ht="13" x14ac:dyDescent="0.3">
      <c r="B472" s="286" t="s">
        <v>718</v>
      </c>
      <c r="C472" s="279">
        <v>6.6360000000000001</v>
      </c>
      <c r="D472" s="279">
        <v>20.62</v>
      </c>
      <c r="E472" s="279">
        <v>1</v>
      </c>
      <c r="F472" s="279">
        <v>75.61</v>
      </c>
      <c r="G472" s="280">
        <v>11.95</v>
      </c>
      <c r="H472" s="3"/>
      <c r="I472" s="3"/>
      <c r="J472" s="3"/>
      <c r="K472" s="3"/>
      <c r="L472" s="3"/>
      <c r="M472" s="3"/>
      <c r="N472" s="3"/>
      <c r="O472" s="3"/>
      <c r="P472" s="3"/>
      <c r="Q472" s="3"/>
      <c r="R472" s="3"/>
      <c r="S472" s="3"/>
      <c r="T472" s="3"/>
      <c r="U472" s="3"/>
      <c r="V472" s="3"/>
      <c r="W472" s="3"/>
      <c r="X472" s="36"/>
    </row>
    <row r="473" spans="2:24" ht="13" x14ac:dyDescent="0.3">
      <c r="B473" s="287" t="s">
        <v>719</v>
      </c>
      <c r="C473" s="283">
        <v>5.048</v>
      </c>
      <c r="D473" s="283">
        <v>18.87</v>
      </c>
      <c r="E473" s="283">
        <v>1</v>
      </c>
      <c r="F473" s="283">
        <v>69.19</v>
      </c>
      <c r="G473" s="264">
        <v>8.32</v>
      </c>
      <c r="H473" s="3"/>
      <c r="I473" s="3"/>
      <c r="J473" s="3"/>
      <c r="K473" s="3"/>
      <c r="L473" s="3"/>
      <c r="M473" s="3"/>
      <c r="N473" s="3"/>
      <c r="O473" s="3"/>
      <c r="P473" s="3"/>
      <c r="Q473" s="3"/>
      <c r="R473" s="3"/>
      <c r="S473" s="3"/>
      <c r="T473" s="3"/>
      <c r="U473" s="3"/>
      <c r="V473" s="3"/>
      <c r="W473" s="3"/>
      <c r="X473" s="36"/>
    </row>
    <row r="474" spans="2:24" ht="13" x14ac:dyDescent="0.3">
      <c r="B474" s="286" t="s">
        <v>720</v>
      </c>
      <c r="C474" s="279">
        <v>5.8250000000000002</v>
      </c>
      <c r="D474" s="279">
        <v>19.95</v>
      </c>
      <c r="E474" s="279">
        <v>1</v>
      </c>
      <c r="F474" s="279">
        <v>73.150000000000006</v>
      </c>
      <c r="G474" s="280">
        <v>10.15</v>
      </c>
      <c r="H474" s="3"/>
      <c r="I474" s="3"/>
      <c r="J474" s="3"/>
      <c r="K474" s="3"/>
      <c r="L474" s="3"/>
      <c r="M474" s="3"/>
      <c r="N474" s="3"/>
      <c r="O474" s="3"/>
      <c r="P474" s="3"/>
      <c r="Q474" s="3"/>
      <c r="R474" s="3"/>
      <c r="S474" s="3"/>
      <c r="T474" s="3"/>
      <c r="U474" s="3"/>
      <c r="V474" s="3"/>
      <c r="W474" s="3"/>
      <c r="X474" s="36"/>
    </row>
    <row r="475" spans="2:24" ht="13" x14ac:dyDescent="0.3">
      <c r="B475" s="287" t="s">
        <v>721</v>
      </c>
      <c r="C475" s="283">
        <v>5.67</v>
      </c>
      <c r="D475" s="283">
        <v>19.329999999999998</v>
      </c>
      <c r="E475" s="283">
        <v>1</v>
      </c>
      <c r="F475" s="283">
        <v>70.88</v>
      </c>
      <c r="G475" s="264">
        <v>9.57</v>
      </c>
      <c r="H475" s="4"/>
      <c r="I475" s="4"/>
      <c r="J475" s="4"/>
      <c r="K475" s="4"/>
      <c r="L475" s="4"/>
      <c r="M475" s="4"/>
      <c r="N475" s="4"/>
      <c r="O475" s="4"/>
      <c r="P475" s="4"/>
      <c r="Q475" s="4"/>
      <c r="R475" s="4"/>
      <c r="S475" s="4"/>
      <c r="T475" s="4"/>
      <c r="U475" s="4"/>
      <c r="V475" s="4"/>
      <c r="W475" s="4"/>
      <c r="X475" s="36"/>
    </row>
    <row r="476" spans="2:24" ht="13" x14ac:dyDescent="0.3">
      <c r="B476" s="286" t="s">
        <v>295</v>
      </c>
      <c r="C476" s="279">
        <v>5.67</v>
      </c>
      <c r="D476" s="279">
        <v>19.72</v>
      </c>
      <c r="E476" s="279">
        <v>1</v>
      </c>
      <c r="F476" s="279">
        <v>72.31</v>
      </c>
      <c r="G476" s="280">
        <v>9.76</v>
      </c>
      <c r="H476" s="4"/>
      <c r="I476" s="4"/>
      <c r="J476" s="4"/>
      <c r="K476" s="4"/>
      <c r="L476" s="4"/>
      <c r="M476" s="4"/>
      <c r="N476" s="4"/>
      <c r="O476" s="4"/>
      <c r="P476" s="4"/>
      <c r="Q476" s="4"/>
      <c r="R476" s="4"/>
      <c r="S476" s="4"/>
      <c r="T476" s="4"/>
      <c r="U476" s="4"/>
      <c r="V476" s="4"/>
      <c r="W476" s="4"/>
      <c r="X476" s="36"/>
    </row>
    <row r="477" spans="2:24" ht="13" x14ac:dyDescent="0.3">
      <c r="B477" s="287" t="s">
        <v>296</v>
      </c>
      <c r="C477" s="283">
        <v>3.8490000000000002</v>
      </c>
      <c r="D477" s="283">
        <v>17.23</v>
      </c>
      <c r="E477" s="264">
        <v>1</v>
      </c>
      <c r="F477" s="283">
        <v>63.16</v>
      </c>
      <c r="G477" s="264">
        <v>5.79</v>
      </c>
      <c r="H477" s="4"/>
      <c r="I477" s="4"/>
      <c r="J477" s="4"/>
      <c r="K477" s="4"/>
      <c r="L477" s="4"/>
      <c r="M477" s="4"/>
      <c r="N477" s="4"/>
      <c r="O477" s="4"/>
      <c r="P477" s="4"/>
      <c r="Q477" s="4"/>
      <c r="R477" s="4"/>
      <c r="S477" s="4"/>
      <c r="T477" s="4"/>
      <c r="U477" s="4"/>
      <c r="V477" s="4"/>
      <c r="W477" s="4"/>
      <c r="X477" s="36"/>
    </row>
    <row r="478" spans="2:24" x14ac:dyDescent="0.25">
      <c r="B478" s="286" t="s">
        <v>722</v>
      </c>
      <c r="C478" s="279">
        <v>3.8239999999999998</v>
      </c>
      <c r="D478" s="279">
        <v>17.2</v>
      </c>
      <c r="E478" s="279">
        <v>1</v>
      </c>
      <c r="F478" s="279">
        <v>63.07</v>
      </c>
      <c r="G478" s="280">
        <v>5.74</v>
      </c>
    </row>
    <row r="479" spans="2:24" x14ac:dyDescent="0.25">
      <c r="B479" s="287" t="s">
        <v>723</v>
      </c>
      <c r="C479" s="283">
        <v>2.9159999999999999</v>
      </c>
      <c r="D479" s="283">
        <v>16.25</v>
      </c>
      <c r="E479" s="283">
        <v>1</v>
      </c>
      <c r="F479" s="283">
        <v>59.58</v>
      </c>
      <c r="G479" s="264">
        <v>4.1399999999999997</v>
      </c>
      <c r="H479" s="288"/>
      <c r="I479" s="288"/>
      <c r="J479" s="288"/>
      <c r="K479" s="288"/>
      <c r="L479" s="288"/>
      <c r="M479" s="288"/>
      <c r="N479" s="288"/>
      <c r="O479" s="288"/>
      <c r="P479" s="288"/>
      <c r="Q479" s="288"/>
      <c r="R479" s="288"/>
      <c r="S479" s="288"/>
      <c r="T479" s="288"/>
      <c r="U479" s="288"/>
      <c r="V479" s="288"/>
      <c r="W479" s="51"/>
      <c r="X479" s="36"/>
    </row>
    <row r="480" spans="2:24" x14ac:dyDescent="0.25">
      <c r="B480" s="286" t="s">
        <v>724</v>
      </c>
      <c r="C480" s="279">
        <v>4.1619999999999999</v>
      </c>
      <c r="D480" s="279">
        <v>17.75</v>
      </c>
      <c r="E480" s="279">
        <v>1</v>
      </c>
      <c r="F480" s="279">
        <v>65.08</v>
      </c>
      <c r="G480" s="280">
        <v>6.45</v>
      </c>
      <c r="H480" s="288"/>
      <c r="I480" s="288"/>
      <c r="J480" s="288"/>
      <c r="K480" s="288"/>
      <c r="L480" s="288"/>
      <c r="M480" s="288"/>
      <c r="N480" s="288"/>
      <c r="O480" s="288"/>
      <c r="P480" s="288"/>
      <c r="Q480" s="288"/>
      <c r="R480" s="288"/>
      <c r="S480" s="288"/>
      <c r="T480" s="288"/>
      <c r="U480" s="288"/>
      <c r="V480" s="288"/>
      <c r="W480" s="51"/>
      <c r="X480" s="36"/>
    </row>
    <row r="481" spans="2:24" x14ac:dyDescent="0.25">
      <c r="B481" s="287" t="s">
        <v>725</v>
      </c>
      <c r="C481" s="283">
        <v>4.3280000000000003</v>
      </c>
      <c r="D481" s="283">
        <v>17.72</v>
      </c>
      <c r="E481" s="283">
        <v>1</v>
      </c>
      <c r="F481" s="283">
        <v>64.97</v>
      </c>
      <c r="G481" s="264">
        <v>6.7</v>
      </c>
      <c r="H481" s="288"/>
      <c r="I481" s="288"/>
      <c r="J481" s="288"/>
      <c r="K481" s="288"/>
      <c r="L481" s="288"/>
      <c r="M481" s="288"/>
      <c r="N481" s="288"/>
      <c r="O481" s="288"/>
      <c r="P481" s="288"/>
      <c r="Q481" s="288"/>
      <c r="R481" s="288"/>
      <c r="S481" s="288"/>
      <c r="T481" s="288"/>
      <c r="U481" s="288"/>
      <c r="V481" s="288"/>
      <c r="W481" s="51"/>
      <c r="X481" s="36"/>
    </row>
    <row r="482" spans="2:24" x14ac:dyDescent="0.25">
      <c r="B482" s="286" t="s">
        <v>726</v>
      </c>
      <c r="C482" s="279">
        <v>6.0650000000000004</v>
      </c>
      <c r="D482" s="279">
        <v>20.239999999999998</v>
      </c>
      <c r="E482" s="279">
        <v>1</v>
      </c>
      <c r="F482" s="279">
        <v>74.209999999999994</v>
      </c>
      <c r="G482" s="280">
        <v>10.72</v>
      </c>
      <c r="H482" s="288"/>
      <c r="I482" s="288"/>
      <c r="J482" s="288"/>
      <c r="K482" s="288"/>
      <c r="L482" s="288"/>
      <c r="M482" s="288"/>
      <c r="N482" s="288"/>
      <c r="O482" s="288"/>
      <c r="P482" s="288"/>
      <c r="Q482" s="288"/>
      <c r="R482" s="288"/>
      <c r="S482" s="288"/>
      <c r="T482" s="288"/>
      <c r="U482" s="288"/>
      <c r="V482" s="288"/>
      <c r="W482" s="123"/>
      <c r="X482" s="36"/>
    </row>
    <row r="483" spans="2:24" x14ac:dyDescent="0.25">
      <c r="B483" s="287" t="s">
        <v>290</v>
      </c>
      <c r="C483" s="283">
        <v>5.218</v>
      </c>
      <c r="D483" s="283">
        <v>19.329999999999998</v>
      </c>
      <c r="E483" s="283">
        <v>1</v>
      </c>
      <c r="F483" s="283">
        <v>70.88</v>
      </c>
      <c r="G483" s="264">
        <v>8.81</v>
      </c>
      <c r="H483" s="288"/>
      <c r="I483" s="288"/>
      <c r="J483" s="288"/>
      <c r="K483" s="288"/>
      <c r="L483" s="288"/>
      <c r="M483" s="288"/>
      <c r="N483" s="288"/>
      <c r="O483" s="288"/>
      <c r="P483" s="288"/>
      <c r="Q483" s="288"/>
      <c r="R483" s="288"/>
      <c r="S483" s="288"/>
      <c r="T483" s="288"/>
      <c r="U483" s="288"/>
      <c r="V483" s="288"/>
      <c r="W483" s="51"/>
      <c r="X483" s="561"/>
    </row>
    <row r="484" spans="2:24" x14ac:dyDescent="0.25">
      <c r="B484" s="286" t="s">
        <v>727</v>
      </c>
      <c r="C484" s="279">
        <v>6.2869999999999999</v>
      </c>
      <c r="D484" s="279">
        <v>21.49</v>
      </c>
      <c r="E484" s="279">
        <v>1</v>
      </c>
      <c r="F484" s="279">
        <v>78.8</v>
      </c>
      <c r="G484" s="280">
        <v>11.8</v>
      </c>
      <c r="H484" s="288"/>
      <c r="I484" s="288"/>
      <c r="J484" s="288"/>
      <c r="K484" s="288"/>
      <c r="L484" s="288"/>
      <c r="M484" s="288"/>
      <c r="N484" s="288"/>
      <c r="O484" s="288"/>
      <c r="P484" s="288"/>
      <c r="Q484" s="288"/>
      <c r="R484" s="288"/>
      <c r="S484" s="288"/>
      <c r="T484" s="288"/>
      <c r="U484" s="288"/>
      <c r="V484" s="288"/>
      <c r="W484" s="51"/>
      <c r="X484" s="561"/>
    </row>
    <row r="485" spans="2:24" x14ac:dyDescent="0.25">
      <c r="B485" s="287" t="s">
        <v>728</v>
      </c>
      <c r="C485" s="283">
        <v>5.8</v>
      </c>
      <c r="D485" s="283">
        <v>20.329999999999998</v>
      </c>
      <c r="E485" s="283">
        <v>1</v>
      </c>
      <c r="F485" s="283">
        <v>74.540000000000006</v>
      </c>
      <c r="G485" s="264">
        <v>10.29</v>
      </c>
      <c r="H485" s="288"/>
      <c r="I485" s="288"/>
      <c r="J485" s="288"/>
      <c r="K485" s="288"/>
      <c r="L485" s="288"/>
      <c r="M485" s="288"/>
      <c r="N485" s="288"/>
      <c r="O485" s="288"/>
      <c r="P485" s="288"/>
      <c r="Q485" s="288"/>
      <c r="R485" s="288"/>
      <c r="S485" s="288"/>
      <c r="T485" s="288"/>
      <c r="U485" s="288"/>
      <c r="V485" s="288"/>
      <c r="W485" s="51"/>
      <c r="X485" s="36"/>
    </row>
    <row r="486" spans="2:24" x14ac:dyDescent="0.25">
      <c r="B486" s="286" t="s">
        <v>729</v>
      </c>
      <c r="C486" s="279">
        <v>5.2480000000000002</v>
      </c>
      <c r="D486" s="279">
        <v>18.14</v>
      </c>
      <c r="E486" s="279">
        <v>1</v>
      </c>
      <c r="F486" s="279">
        <v>66.510000000000005</v>
      </c>
      <c r="G486" s="280">
        <v>8.31</v>
      </c>
      <c r="H486" s="288"/>
      <c r="I486" s="288"/>
      <c r="J486" s="288"/>
      <c r="K486" s="288"/>
      <c r="L486" s="288"/>
      <c r="M486" s="288"/>
      <c r="N486" s="288"/>
      <c r="O486" s="288"/>
      <c r="P486" s="288"/>
      <c r="Q486" s="288"/>
      <c r="R486" s="288"/>
      <c r="S486" s="288"/>
      <c r="T486" s="288"/>
      <c r="U486" s="288"/>
      <c r="V486" s="288"/>
      <c r="W486" s="51"/>
      <c r="X486" s="36"/>
    </row>
    <row r="487" spans="2:24" x14ac:dyDescent="0.25">
      <c r="B487" s="287" t="s">
        <v>730</v>
      </c>
      <c r="C487" s="283">
        <v>4.62</v>
      </c>
      <c r="D487" s="283">
        <v>18.239999999999998</v>
      </c>
      <c r="E487" s="283">
        <v>1</v>
      </c>
      <c r="F487" s="283">
        <v>66.88</v>
      </c>
      <c r="G487" s="264">
        <v>7.36</v>
      </c>
      <c r="H487" s="288"/>
      <c r="I487" s="288"/>
      <c r="J487" s="288"/>
      <c r="K487" s="288"/>
      <c r="L487" s="288"/>
      <c r="M487" s="288"/>
      <c r="N487" s="288"/>
      <c r="O487" s="288"/>
      <c r="P487" s="288"/>
      <c r="Q487" s="288"/>
      <c r="R487" s="288"/>
      <c r="S487" s="288"/>
      <c r="T487" s="288"/>
      <c r="U487" s="288"/>
      <c r="V487" s="288"/>
      <c r="W487" s="51"/>
      <c r="X487" s="36"/>
    </row>
    <row r="488" spans="2:24" x14ac:dyDescent="0.25">
      <c r="B488" s="286" t="s">
        <v>731</v>
      </c>
      <c r="C488" s="279">
        <v>5.8250000000000002</v>
      </c>
      <c r="D488" s="279">
        <v>19.95</v>
      </c>
      <c r="E488" s="279">
        <v>1</v>
      </c>
      <c r="F488" s="279">
        <v>73.150000000000006</v>
      </c>
      <c r="G488" s="280">
        <v>10.15</v>
      </c>
      <c r="H488" s="288"/>
      <c r="I488" s="288"/>
      <c r="J488" s="288"/>
      <c r="K488" s="288"/>
      <c r="L488" s="288"/>
      <c r="M488" s="288"/>
      <c r="N488" s="288"/>
      <c r="O488" s="288"/>
      <c r="P488" s="288"/>
      <c r="Q488" s="288"/>
      <c r="R488" s="288"/>
      <c r="S488" s="288"/>
      <c r="T488" s="288"/>
      <c r="U488" s="288"/>
      <c r="V488" s="288"/>
      <c r="W488" s="51"/>
      <c r="X488" s="36"/>
    </row>
    <row r="489" spans="2:24" x14ac:dyDescent="0.25">
      <c r="B489" s="287" t="s">
        <v>732</v>
      </c>
      <c r="C489" s="283">
        <v>4.62</v>
      </c>
      <c r="D489" s="283">
        <v>18.239999999999998</v>
      </c>
      <c r="E489" s="283">
        <v>1</v>
      </c>
      <c r="F489" s="283">
        <v>66.88</v>
      </c>
      <c r="G489" s="264">
        <v>7.36</v>
      </c>
      <c r="H489" s="288"/>
      <c r="I489" s="288"/>
      <c r="J489" s="288"/>
      <c r="K489" s="288"/>
      <c r="L489" s="288"/>
      <c r="M489" s="288"/>
      <c r="N489" s="288"/>
      <c r="O489" s="288"/>
      <c r="P489" s="288"/>
      <c r="Q489" s="288"/>
      <c r="R489" s="288"/>
      <c r="S489" s="288"/>
      <c r="T489" s="288"/>
      <c r="U489" s="288"/>
      <c r="V489" s="288"/>
      <c r="W489" s="51"/>
      <c r="X489" s="36"/>
    </row>
    <row r="490" spans="2:24" x14ac:dyDescent="0.25">
      <c r="B490" s="286" t="s">
        <v>733</v>
      </c>
      <c r="C490" s="279">
        <v>5.4279999999999999</v>
      </c>
      <c r="D490" s="279">
        <v>19.37</v>
      </c>
      <c r="E490" s="279">
        <v>1</v>
      </c>
      <c r="F490" s="279">
        <v>71.02</v>
      </c>
      <c r="G490" s="280">
        <v>9.18</v>
      </c>
      <c r="H490" s="288"/>
      <c r="I490" s="288"/>
      <c r="J490" s="288"/>
      <c r="K490" s="288"/>
      <c r="L490" s="288"/>
      <c r="M490" s="288"/>
      <c r="N490" s="288"/>
      <c r="O490" s="288"/>
      <c r="P490" s="288"/>
      <c r="Q490" s="288"/>
      <c r="R490" s="288"/>
      <c r="S490" s="288"/>
      <c r="T490" s="288"/>
      <c r="U490" s="288"/>
      <c r="V490" s="288"/>
      <c r="W490" s="51"/>
      <c r="X490" s="36"/>
    </row>
    <row r="491" spans="2:24" x14ac:dyDescent="0.25">
      <c r="B491" s="287" t="s">
        <v>734</v>
      </c>
      <c r="C491" s="283">
        <v>6.024</v>
      </c>
      <c r="D491" s="283">
        <v>27.85</v>
      </c>
      <c r="E491" s="283">
        <v>1</v>
      </c>
      <c r="F491" s="283">
        <v>102.12</v>
      </c>
      <c r="G491" s="264">
        <v>14.65</v>
      </c>
      <c r="H491" s="288"/>
      <c r="I491" s="288"/>
      <c r="J491" s="288"/>
      <c r="K491" s="288"/>
      <c r="L491" s="288"/>
      <c r="M491" s="288"/>
      <c r="N491" s="288"/>
      <c r="O491" s="288"/>
      <c r="P491" s="288"/>
      <c r="Q491" s="288"/>
      <c r="R491" s="288"/>
      <c r="S491" s="288"/>
      <c r="T491" s="288"/>
      <c r="U491" s="288"/>
      <c r="V491" s="288"/>
      <c r="W491" s="51"/>
      <c r="X491" s="36"/>
    </row>
    <row r="492" spans="2:24" x14ac:dyDescent="0.25">
      <c r="B492" s="286" t="s">
        <v>735</v>
      </c>
      <c r="C492" s="279">
        <v>6</v>
      </c>
      <c r="D492" s="279">
        <v>17.510000000000002</v>
      </c>
      <c r="E492" s="279">
        <v>1</v>
      </c>
      <c r="F492" s="279">
        <v>64.2</v>
      </c>
      <c r="G492" s="280">
        <v>9.17</v>
      </c>
      <c r="H492" s="288"/>
      <c r="I492" s="288"/>
      <c r="J492" s="288"/>
      <c r="K492" s="288"/>
      <c r="L492" s="288"/>
      <c r="M492" s="288"/>
      <c r="N492" s="288"/>
      <c r="O492" s="288"/>
      <c r="P492" s="288"/>
      <c r="Q492" s="288"/>
      <c r="R492" s="288"/>
      <c r="S492" s="288"/>
      <c r="T492" s="288"/>
      <c r="U492" s="288"/>
      <c r="V492" s="288"/>
      <c r="W492" s="51"/>
      <c r="X492" s="36"/>
    </row>
    <row r="493" spans="2:24" x14ac:dyDescent="0.25">
      <c r="B493" s="287" t="s">
        <v>736</v>
      </c>
      <c r="C493" s="283">
        <v>5.2480000000000002</v>
      </c>
      <c r="D493" s="283">
        <v>19.86</v>
      </c>
      <c r="E493" s="283">
        <v>1</v>
      </c>
      <c r="F493" s="283">
        <v>72.819999999999993</v>
      </c>
      <c r="G493" s="264">
        <v>9.1</v>
      </c>
    </row>
    <row r="494" spans="2:24" x14ac:dyDescent="0.25">
      <c r="B494" s="286" t="s">
        <v>737</v>
      </c>
      <c r="C494" s="279">
        <v>5.8250000000000002</v>
      </c>
      <c r="D494" s="279">
        <v>20.329999999999998</v>
      </c>
      <c r="E494" s="279">
        <v>1</v>
      </c>
      <c r="F494" s="279">
        <v>74.540000000000006</v>
      </c>
      <c r="G494" s="280">
        <v>10.34</v>
      </c>
      <c r="H494" s="289"/>
      <c r="I494" s="289"/>
      <c r="J494" s="289"/>
      <c r="K494" s="289"/>
      <c r="L494" s="289"/>
      <c r="M494" s="289"/>
      <c r="N494" s="289"/>
      <c r="O494" s="289"/>
      <c r="P494" s="289"/>
      <c r="Q494" s="289"/>
      <c r="R494" s="289"/>
      <c r="S494" s="289"/>
      <c r="T494" s="289"/>
      <c r="U494" s="289"/>
      <c r="V494" s="289"/>
      <c r="W494" s="51"/>
      <c r="X494" s="36"/>
    </row>
    <row r="495" spans="2:24" x14ac:dyDescent="0.25">
      <c r="B495" s="287" t="s">
        <v>738</v>
      </c>
      <c r="C495" s="283">
        <v>5.5369999999999999</v>
      </c>
      <c r="D495" s="283">
        <v>19.809999999999999</v>
      </c>
      <c r="E495" s="283">
        <v>1</v>
      </c>
      <c r="F495" s="283">
        <v>72.64</v>
      </c>
      <c r="G495" s="264">
        <v>9.58</v>
      </c>
      <c r="H495" s="289"/>
      <c r="I495" s="289"/>
      <c r="J495" s="289"/>
      <c r="K495" s="289"/>
      <c r="L495" s="289"/>
      <c r="M495" s="289"/>
      <c r="N495" s="289"/>
      <c r="O495" s="289"/>
      <c r="P495" s="289"/>
      <c r="Q495" s="289"/>
      <c r="R495" s="289"/>
      <c r="S495" s="289"/>
      <c r="T495" s="289"/>
      <c r="U495" s="289"/>
      <c r="V495" s="289"/>
      <c r="W495" s="51"/>
      <c r="X495" s="36"/>
    </row>
    <row r="496" spans="2:24" ht="13" x14ac:dyDescent="0.3">
      <c r="B496" s="13" t="s">
        <v>739</v>
      </c>
      <c r="H496" s="4"/>
      <c r="I496" s="4"/>
      <c r="J496" s="4"/>
      <c r="K496" s="4"/>
      <c r="L496" s="4"/>
      <c r="M496" s="4"/>
      <c r="N496" s="4"/>
      <c r="O496" s="4"/>
      <c r="P496" s="4"/>
      <c r="Q496" s="4"/>
      <c r="R496" s="4"/>
      <c r="S496" s="4"/>
      <c r="T496" s="4"/>
      <c r="U496" s="4"/>
      <c r="V496" s="4"/>
      <c r="W496" s="4"/>
      <c r="X496" s="36"/>
    </row>
    <row r="497" spans="2:24" ht="15.5" x14ac:dyDescent="0.4">
      <c r="B497" s="13" t="s">
        <v>740</v>
      </c>
      <c r="H497" s="289"/>
      <c r="I497" s="289"/>
      <c r="J497" s="289"/>
      <c r="K497" s="289"/>
      <c r="L497" s="289"/>
      <c r="M497" s="289"/>
      <c r="N497" s="289"/>
      <c r="O497" s="289"/>
      <c r="P497" s="289"/>
      <c r="Q497" s="289"/>
      <c r="R497" s="289"/>
      <c r="S497" s="289"/>
      <c r="T497" s="289"/>
      <c r="U497" s="289"/>
      <c r="V497" s="289"/>
      <c r="W497" s="51"/>
      <c r="X497" s="36"/>
    </row>
    <row r="498" spans="2:24" ht="12.75" customHeight="1" x14ac:dyDescent="0.25">
      <c r="B498" s="51" t="s">
        <v>741</v>
      </c>
      <c r="C498" s="51"/>
      <c r="D498" s="51"/>
      <c r="E498" s="51"/>
      <c r="F498" s="51"/>
      <c r="G498" s="51"/>
      <c r="H498" s="289"/>
      <c r="I498" s="289"/>
      <c r="J498" s="289"/>
      <c r="K498" s="289"/>
      <c r="L498" s="289"/>
      <c r="M498" s="289"/>
      <c r="N498" s="289"/>
      <c r="O498" s="289"/>
      <c r="P498" s="289"/>
      <c r="Q498" s="289"/>
      <c r="R498" s="289"/>
      <c r="S498" s="289"/>
      <c r="T498" s="289"/>
      <c r="U498" s="289"/>
      <c r="V498" s="289"/>
      <c r="W498" s="51"/>
      <c r="X498" s="36"/>
    </row>
    <row r="499" spans="2:24" x14ac:dyDescent="0.25">
      <c r="C499" s="36"/>
      <c r="D499" s="289"/>
      <c r="E499" s="289"/>
      <c r="F499" s="289"/>
      <c r="G499" s="289"/>
      <c r="H499" s="289"/>
      <c r="I499" s="289"/>
      <c r="J499" s="289"/>
      <c r="K499" s="289"/>
      <c r="L499" s="289"/>
      <c r="M499" s="289"/>
      <c r="N499" s="289"/>
      <c r="O499" s="289"/>
      <c r="P499" s="289"/>
      <c r="Q499" s="289"/>
      <c r="R499" s="289"/>
      <c r="S499" s="289"/>
      <c r="T499" s="289"/>
      <c r="U499" s="289"/>
      <c r="V499" s="289"/>
      <c r="W499" s="51"/>
      <c r="X499" s="36"/>
    </row>
    <row r="500" spans="2:24" ht="15.5" x14ac:dyDescent="0.25">
      <c r="B500" s="291" t="s">
        <v>742</v>
      </c>
      <c r="C500" s="36"/>
      <c r="D500" s="289"/>
      <c r="E500" s="289"/>
      <c r="F500" s="289"/>
      <c r="G500" s="289"/>
      <c r="H500" s="289"/>
      <c r="I500" s="289"/>
      <c r="J500" s="289"/>
      <c r="K500" s="289"/>
      <c r="L500" s="289"/>
      <c r="M500" s="289"/>
      <c r="N500" s="289"/>
      <c r="O500" s="289"/>
      <c r="P500" s="289"/>
      <c r="Q500" s="289"/>
      <c r="R500" s="289"/>
      <c r="S500" s="289"/>
      <c r="T500" s="289"/>
      <c r="U500" s="289"/>
      <c r="V500" s="289"/>
      <c r="W500" s="51"/>
      <c r="X500" s="36"/>
    </row>
    <row r="501" spans="2:24" ht="15.5" x14ac:dyDescent="0.4">
      <c r="B501" s="276" t="s">
        <v>715</v>
      </c>
      <c r="C501" s="277" t="s">
        <v>688</v>
      </c>
      <c r="D501" s="277" t="s">
        <v>717</v>
      </c>
      <c r="E501" s="289"/>
      <c r="F501" s="289"/>
      <c r="G501" s="289"/>
      <c r="H501" s="289"/>
      <c r="I501" s="289"/>
      <c r="J501" s="289"/>
      <c r="K501" s="289"/>
      <c r="L501" s="289"/>
      <c r="M501" s="289"/>
      <c r="N501" s="289"/>
      <c r="O501" s="289"/>
      <c r="P501" s="289"/>
      <c r="Q501" s="289"/>
      <c r="R501" s="289"/>
      <c r="S501" s="289"/>
      <c r="T501" s="289"/>
      <c r="U501" s="289"/>
      <c r="V501" s="289"/>
      <c r="W501" s="51"/>
      <c r="X501" s="36"/>
    </row>
    <row r="502" spans="2:24" x14ac:dyDescent="0.25">
      <c r="B502" s="287" t="s">
        <v>290</v>
      </c>
      <c r="C502" s="283">
        <v>70.88</v>
      </c>
      <c r="D502" s="264">
        <v>8.81</v>
      </c>
      <c r="E502" s="289"/>
      <c r="F502" s="289"/>
      <c r="G502" s="289"/>
      <c r="H502" s="289"/>
      <c r="I502" s="289"/>
      <c r="J502" s="289"/>
      <c r="K502" s="289"/>
      <c r="L502" s="289"/>
      <c r="M502" s="289"/>
      <c r="N502" s="289"/>
      <c r="O502" s="289"/>
      <c r="P502" s="289"/>
      <c r="Q502" s="289"/>
      <c r="R502" s="289"/>
      <c r="S502" s="289"/>
      <c r="T502" s="289"/>
      <c r="U502" s="289"/>
      <c r="V502" s="289"/>
      <c r="W502" s="51"/>
      <c r="X502" s="36"/>
    </row>
    <row r="503" spans="2:24" x14ac:dyDescent="0.25">
      <c r="B503" s="287" t="s">
        <v>291</v>
      </c>
      <c r="C503" s="283">
        <v>73.150000000000006</v>
      </c>
      <c r="D503" s="264">
        <v>10.15</v>
      </c>
      <c r="E503" s="289"/>
      <c r="F503" s="289"/>
      <c r="G503" s="289"/>
      <c r="H503" s="289"/>
      <c r="I503" s="289"/>
      <c r="J503" s="289"/>
      <c r="K503" s="289"/>
      <c r="L503" s="289"/>
      <c r="M503" s="289"/>
      <c r="N503" s="289"/>
      <c r="O503" s="289"/>
      <c r="P503" s="289"/>
      <c r="Q503" s="289"/>
      <c r="R503" s="289"/>
      <c r="S503" s="289"/>
      <c r="T503" s="289"/>
      <c r="U503" s="289"/>
      <c r="V503" s="289"/>
      <c r="W503" s="51"/>
      <c r="X503" s="36"/>
    </row>
    <row r="504" spans="2:24" x14ac:dyDescent="0.25">
      <c r="B504" s="287" t="s">
        <v>292</v>
      </c>
      <c r="C504" s="283">
        <v>63.07</v>
      </c>
      <c r="D504" s="264">
        <v>5.74</v>
      </c>
      <c r="E504" s="289"/>
      <c r="F504" s="289"/>
      <c r="G504" s="289"/>
      <c r="H504" s="289"/>
      <c r="I504" s="289"/>
      <c r="J504" s="289"/>
      <c r="K504" s="289"/>
      <c r="L504" s="289"/>
      <c r="M504" s="289"/>
      <c r="N504" s="289"/>
      <c r="O504" s="289"/>
      <c r="P504" s="289"/>
      <c r="Q504" s="289"/>
      <c r="R504" s="289"/>
      <c r="S504" s="289"/>
      <c r="T504" s="289"/>
      <c r="U504" s="289"/>
      <c r="V504" s="289"/>
      <c r="W504" s="51"/>
      <c r="X504" s="36"/>
    </row>
    <row r="505" spans="2:24" x14ac:dyDescent="0.25">
      <c r="B505" s="282" t="s">
        <v>293</v>
      </c>
      <c r="C505" s="264">
        <v>53.06</v>
      </c>
      <c r="D505" s="264">
        <v>5.4600000000000003E-2</v>
      </c>
    </row>
    <row r="506" spans="2:24" x14ac:dyDescent="0.25">
      <c r="B506" s="287" t="s">
        <v>295</v>
      </c>
      <c r="C506" s="283">
        <v>72.31</v>
      </c>
      <c r="D506" s="264">
        <v>9.76</v>
      </c>
    </row>
    <row r="507" spans="2:24" x14ac:dyDescent="0.25">
      <c r="B507" s="287" t="s">
        <v>296</v>
      </c>
      <c r="C507" s="283">
        <v>63.16</v>
      </c>
      <c r="D507" s="264">
        <v>5.79</v>
      </c>
    </row>
    <row r="510" spans="2:24" ht="15.5" x14ac:dyDescent="0.35">
      <c r="B510" s="202" t="s">
        <v>743</v>
      </c>
    </row>
    <row r="511" spans="2:24" ht="13" x14ac:dyDescent="0.3">
      <c r="B511" s="13" t="s">
        <v>744</v>
      </c>
      <c r="C511" s="4"/>
      <c r="D511" s="4"/>
      <c r="E511" s="4"/>
      <c r="F511" s="4"/>
      <c r="G511" s="4"/>
      <c r="H511" s="4"/>
      <c r="I511" s="4"/>
      <c r="J511" s="4"/>
      <c r="K511" s="4"/>
      <c r="L511" s="4"/>
      <c r="M511" s="4"/>
      <c r="N511" s="4"/>
      <c r="O511" s="4"/>
      <c r="P511" s="4"/>
      <c r="Q511" s="4"/>
      <c r="R511" s="4"/>
      <c r="S511" s="4"/>
      <c r="T511" s="4"/>
      <c r="U511" s="4"/>
      <c r="V511" s="4"/>
      <c r="W511" s="4"/>
      <c r="X511" s="36"/>
    </row>
    <row r="512" spans="2:24" ht="13" x14ac:dyDescent="0.3">
      <c r="B512" s="214" t="s">
        <v>745</v>
      </c>
      <c r="C512" s="214" t="s">
        <v>746</v>
      </c>
      <c r="D512" s="4"/>
      <c r="E512" s="4"/>
      <c r="F512" s="4"/>
      <c r="G512" s="4"/>
      <c r="H512" s="4"/>
      <c r="I512" s="4"/>
      <c r="J512" s="4"/>
      <c r="K512" s="4"/>
      <c r="L512" s="4"/>
      <c r="M512" s="4"/>
      <c r="N512" s="4"/>
      <c r="O512" s="4"/>
      <c r="P512" s="4"/>
      <c r="Q512" s="4"/>
      <c r="R512" s="4"/>
      <c r="S512" s="4"/>
      <c r="T512" s="4"/>
      <c r="U512" s="4"/>
      <c r="V512" s="4"/>
      <c r="W512" s="4"/>
      <c r="X512" s="36"/>
    </row>
    <row r="513" spans="2:24" ht="13" x14ac:dyDescent="0.3">
      <c r="B513" s="283" t="s">
        <v>747</v>
      </c>
      <c r="C513" s="312" t="s">
        <v>748</v>
      </c>
      <c r="D513" s="4"/>
      <c r="E513" s="4"/>
      <c r="F513" s="4"/>
      <c r="G513" s="4"/>
      <c r="H513" s="4"/>
      <c r="I513" s="4"/>
      <c r="J513" s="4"/>
      <c r="K513" s="4"/>
      <c r="L513" s="4"/>
      <c r="M513" s="4"/>
      <c r="N513" s="4"/>
      <c r="O513" s="4"/>
      <c r="P513" s="4"/>
      <c r="Q513" s="4"/>
      <c r="R513" s="4"/>
      <c r="S513" s="4"/>
      <c r="T513" s="4"/>
      <c r="U513" s="4"/>
      <c r="V513" s="4"/>
      <c r="W513" s="4"/>
      <c r="X513" s="36"/>
    </row>
    <row r="514" spans="2:24" ht="13" x14ac:dyDescent="0.3">
      <c r="B514" s="283" t="s">
        <v>749</v>
      </c>
      <c r="C514" s="312" t="s">
        <v>750</v>
      </c>
      <c r="D514" s="4"/>
      <c r="E514" s="4"/>
      <c r="F514" s="4"/>
      <c r="G514" s="4"/>
      <c r="H514" s="4"/>
      <c r="I514" s="4"/>
      <c r="J514" s="4"/>
      <c r="K514" s="4"/>
      <c r="L514" s="4"/>
      <c r="M514" s="4"/>
      <c r="N514" s="4"/>
      <c r="O514" s="4"/>
      <c r="P514" s="4"/>
      <c r="Q514" s="4"/>
      <c r="R514" s="4"/>
      <c r="S514" s="4"/>
      <c r="T514" s="4"/>
      <c r="U514" s="4"/>
      <c r="V514" s="4"/>
      <c r="W514" s="4"/>
      <c r="X514" s="36"/>
    </row>
    <row r="515" spans="2:24" ht="13" x14ac:dyDescent="0.3">
      <c r="B515" s="283" t="s">
        <v>751</v>
      </c>
      <c r="C515" s="287" t="s">
        <v>752</v>
      </c>
      <c r="D515" s="4"/>
      <c r="E515" s="4"/>
      <c r="F515" s="4"/>
      <c r="G515" s="4"/>
      <c r="H515" s="4"/>
      <c r="I515" s="4"/>
      <c r="J515" s="4"/>
      <c r="K515" s="4"/>
      <c r="L515" s="4"/>
      <c r="M515" s="4"/>
      <c r="N515" s="4"/>
      <c r="O515" s="4"/>
      <c r="P515" s="4"/>
      <c r="Q515" s="4"/>
      <c r="R515" s="4"/>
      <c r="S515" s="4"/>
      <c r="T515" s="4"/>
      <c r="U515" s="4"/>
      <c r="V515" s="4"/>
      <c r="W515" s="4"/>
      <c r="X515" s="36"/>
    </row>
    <row r="516" spans="2:24" x14ac:dyDescent="0.25">
      <c r="B516" s="283" t="s">
        <v>753</v>
      </c>
      <c r="C516" s="282" t="s">
        <v>754</v>
      </c>
      <c r="D516" s="289"/>
      <c r="E516" s="289"/>
      <c r="F516" s="289"/>
      <c r="G516" s="289"/>
      <c r="H516" s="289"/>
      <c r="I516" s="289"/>
      <c r="J516" s="289"/>
      <c r="K516" s="289"/>
      <c r="L516" s="289"/>
      <c r="M516" s="289"/>
      <c r="N516" s="289"/>
      <c r="O516" s="289"/>
      <c r="P516" s="289"/>
      <c r="Q516" s="289"/>
      <c r="R516" s="289"/>
      <c r="S516" s="289"/>
      <c r="T516" s="289"/>
      <c r="U516" s="289"/>
      <c r="V516" s="289"/>
      <c r="W516" s="36"/>
      <c r="X516" s="561"/>
    </row>
    <row r="517" spans="2:24" x14ac:dyDescent="0.25">
      <c r="B517" s="283" t="s">
        <v>755</v>
      </c>
      <c r="C517" s="282" t="s">
        <v>756</v>
      </c>
      <c r="D517" s="289"/>
      <c r="E517" s="289"/>
      <c r="F517" s="289"/>
      <c r="G517" s="289"/>
      <c r="H517" s="289"/>
      <c r="I517" s="289"/>
      <c r="J517" s="289"/>
      <c r="K517" s="289"/>
      <c r="L517" s="289"/>
      <c r="M517" s="289"/>
      <c r="N517" s="289"/>
      <c r="O517" s="289"/>
      <c r="P517" s="289"/>
      <c r="Q517" s="289"/>
      <c r="R517" s="289"/>
      <c r="S517" s="289"/>
      <c r="T517" s="289"/>
      <c r="U517" s="289"/>
      <c r="V517" s="289"/>
      <c r="W517" s="36"/>
      <c r="X517" s="561"/>
    </row>
    <row r="518" spans="2:24" x14ac:dyDescent="0.25">
      <c r="B518" s="283" t="s">
        <v>757</v>
      </c>
      <c r="C518" s="282" t="s">
        <v>758</v>
      </c>
      <c r="D518" s="289"/>
      <c r="E518" s="289"/>
      <c r="F518" s="289"/>
      <c r="G518" s="289"/>
      <c r="H518" s="289"/>
      <c r="I518" s="289"/>
      <c r="J518" s="289"/>
      <c r="K518" s="289"/>
      <c r="L518" s="289"/>
      <c r="M518" s="289"/>
      <c r="N518" s="289"/>
      <c r="O518" s="289"/>
      <c r="P518" s="289"/>
      <c r="Q518" s="289"/>
      <c r="R518" s="289"/>
      <c r="S518" s="289"/>
      <c r="T518" s="289"/>
      <c r="U518" s="289"/>
      <c r="V518" s="289"/>
      <c r="W518" s="36"/>
      <c r="X518" s="36"/>
    </row>
    <row r="519" spans="2:24" x14ac:dyDescent="0.25">
      <c r="B519" s="283" t="s">
        <v>759</v>
      </c>
      <c r="C519" s="282" t="s">
        <v>760</v>
      </c>
      <c r="D519" s="289"/>
      <c r="E519" s="289"/>
      <c r="F519" s="289"/>
      <c r="G519" s="289"/>
      <c r="H519" s="289"/>
      <c r="I519" s="289"/>
      <c r="J519" s="289"/>
      <c r="K519" s="289"/>
      <c r="L519" s="289"/>
      <c r="M519" s="289"/>
      <c r="N519" s="289"/>
      <c r="O519" s="289"/>
      <c r="P519" s="289"/>
      <c r="Q519" s="289"/>
      <c r="R519" s="289"/>
      <c r="S519" s="289"/>
      <c r="T519" s="289"/>
      <c r="U519" s="289"/>
      <c r="V519" s="289"/>
      <c r="W519" s="36"/>
      <c r="X519" s="36"/>
    </row>
    <row r="520" spans="2:24" x14ac:dyDescent="0.25">
      <c r="B520" s="283" t="s">
        <v>761</v>
      </c>
      <c r="C520" s="282" t="s">
        <v>762</v>
      </c>
      <c r="D520" s="289"/>
      <c r="E520" s="289"/>
      <c r="F520" s="289"/>
      <c r="G520" s="289"/>
      <c r="H520" s="289"/>
      <c r="I520" s="289"/>
      <c r="J520" s="289"/>
      <c r="K520" s="289"/>
      <c r="L520" s="289"/>
      <c r="M520" s="289"/>
      <c r="N520" s="289"/>
      <c r="O520" s="289"/>
      <c r="P520" s="289"/>
      <c r="Q520" s="289"/>
      <c r="R520" s="289"/>
      <c r="S520" s="289"/>
      <c r="T520" s="289"/>
      <c r="U520" s="289"/>
      <c r="V520" s="289"/>
      <c r="W520" s="36"/>
      <c r="X520" s="36"/>
    </row>
    <row r="521" spans="2:24" x14ac:dyDescent="0.25">
      <c r="B521" s="283" t="s">
        <v>763</v>
      </c>
      <c r="C521" s="282" t="s">
        <v>764</v>
      </c>
      <c r="D521" s="289"/>
      <c r="E521" s="289"/>
      <c r="F521" s="289"/>
      <c r="G521" s="289"/>
      <c r="H521" s="289"/>
      <c r="I521" s="289"/>
      <c r="J521" s="289"/>
      <c r="K521" s="289"/>
      <c r="L521" s="289"/>
      <c r="M521" s="289"/>
      <c r="N521" s="289"/>
      <c r="O521" s="289"/>
      <c r="P521" s="289"/>
      <c r="Q521" s="289"/>
      <c r="R521" s="289"/>
      <c r="S521" s="289"/>
      <c r="T521" s="289"/>
      <c r="U521" s="289"/>
      <c r="V521" s="289"/>
      <c r="W521" s="36"/>
      <c r="X521" s="36"/>
    </row>
    <row r="522" spans="2:24" x14ac:dyDescent="0.25">
      <c r="B522" s="283" t="s">
        <v>765</v>
      </c>
      <c r="C522" s="282" t="s">
        <v>766</v>
      </c>
      <c r="D522" s="289"/>
      <c r="E522" s="289"/>
      <c r="F522" s="289"/>
      <c r="G522" s="289"/>
      <c r="H522" s="289"/>
      <c r="I522" s="289"/>
      <c r="J522" s="289"/>
      <c r="K522" s="289"/>
      <c r="L522" s="289"/>
      <c r="M522" s="289"/>
      <c r="N522" s="289"/>
      <c r="O522" s="289"/>
      <c r="P522" s="289"/>
      <c r="Q522" s="289"/>
      <c r="R522" s="289"/>
      <c r="S522" s="289"/>
      <c r="T522" s="289"/>
      <c r="U522" s="289"/>
      <c r="V522" s="289"/>
      <c r="W522" s="36"/>
      <c r="X522" s="36"/>
    </row>
    <row r="523" spans="2:24" x14ac:dyDescent="0.25">
      <c r="B523" s="283" t="s">
        <v>767</v>
      </c>
      <c r="C523" s="282" t="s">
        <v>768</v>
      </c>
      <c r="D523" s="290"/>
      <c r="E523" s="290"/>
      <c r="F523" s="290"/>
      <c r="G523" s="290"/>
      <c r="H523" s="290"/>
      <c r="I523" s="290"/>
      <c r="J523" s="290"/>
      <c r="K523" s="290"/>
      <c r="L523" s="290"/>
      <c r="M523" s="290"/>
      <c r="N523" s="290"/>
      <c r="O523" s="290"/>
      <c r="P523" s="290"/>
      <c r="Q523" s="290"/>
      <c r="R523" s="290"/>
      <c r="S523" s="290"/>
      <c r="T523" s="290"/>
      <c r="U523" s="290"/>
      <c r="V523" s="290"/>
      <c r="W523" s="36"/>
      <c r="X523" s="36"/>
    </row>
    <row r="524" spans="2:24" x14ac:dyDescent="0.25">
      <c r="B524" s="283" t="s">
        <v>769</v>
      </c>
      <c r="C524" s="282" t="s">
        <v>770</v>
      </c>
      <c r="D524" s="290"/>
      <c r="E524" s="290"/>
      <c r="F524" s="290"/>
      <c r="G524" s="290"/>
      <c r="H524" s="290"/>
      <c r="I524" s="290"/>
      <c r="J524" s="290"/>
      <c r="K524" s="290"/>
      <c r="L524" s="290"/>
      <c r="M524" s="290"/>
      <c r="N524" s="290"/>
      <c r="O524" s="290"/>
      <c r="P524" s="290"/>
      <c r="Q524" s="290"/>
      <c r="R524" s="290"/>
      <c r="S524" s="290"/>
      <c r="T524" s="290"/>
      <c r="U524" s="290"/>
      <c r="V524" s="290"/>
      <c r="W524" s="36"/>
      <c r="X524" s="36"/>
    </row>
    <row r="525" spans="2:24" x14ac:dyDescent="0.25">
      <c r="B525" s="283" t="s">
        <v>771</v>
      </c>
      <c r="C525" s="282" t="s">
        <v>772</v>
      </c>
      <c r="D525" s="290"/>
      <c r="E525" s="290"/>
      <c r="F525" s="290"/>
      <c r="G525" s="290"/>
      <c r="H525" s="290"/>
      <c r="I525" s="290"/>
      <c r="J525" s="290"/>
      <c r="K525" s="290"/>
      <c r="L525" s="290"/>
      <c r="M525" s="290"/>
      <c r="N525" s="290"/>
      <c r="O525" s="290"/>
      <c r="P525" s="290"/>
      <c r="Q525" s="290"/>
      <c r="R525" s="290"/>
      <c r="S525" s="290"/>
      <c r="T525" s="290"/>
      <c r="U525" s="290"/>
      <c r="V525" s="290"/>
      <c r="W525" s="36"/>
      <c r="X525" s="36"/>
    </row>
    <row r="526" spans="2:24" x14ac:dyDescent="0.25">
      <c r="B526" s="283" t="s">
        <v>773</v>
      </c>
      <c r="C526" s="282" t="s">
        <v>774</v>
      </c>
      <c r="D526" s="290"/>
      <c r="E526" s="290"/>
      <c r="F526" s="290"/>
      <c r="G526" s="290"/>
      <c r="H526" s="290"/>
      <c r="I526" s="290"/>
      <c r="J526" s="290"/>
      <c r="K526" s="290"/>
      <c r="L526" s="290"/>
      <c r="M526" s="290"/>
      <c r="N526" s="290"/>
      <c r="O526" s="290"/>
      <c r="P526" s="290"/>
      <c r="Q526" s="290"/>
      <c r="R526" s="290"/>
      <c r="S526" s="290"/>
      <c r="T526" s="290"/>
      <c r="U526" s="290"/>
      <c r="V526" s="290"/>
      <c r="W526" s="36"/>
      <c r="X526" s="36"/>
    </row>
    <row r="527" spans="2:24" x14ac:dyDescent="0.25">
      <c r="B527" s="283" t="s">
        <v>775</v>
      </c>
      <c r="C527" s="282" t="s">
        <v>776</v>
      </c>
      <c r="D527" s="290"/>
      <c r="E527" s="290"/>
      <c r="F527" s="290"/>
      <c r="G527" s="290"/>
      <c r="H527" s="290"/>
      <c r="I527" s="290"/>
      <c r="J527" s="290"/>
      <c r="K527" s="290"/>
      <c r="L527" s="290"/>
      <c r="M527" s="290"/>
      <c r="N527" s="290"/>
      <c r="O527" s="290"/>
      <c r="P527" s="290"/>
      <c r="Q527" s="290"/>
      <c r="R527" s="290"/>
      <c r="S527" s="290"/>
      <c r="T527" s="290"/>
      <c r="U527" s="290"/>
      <c r="V527" s="290"/>
      <c r="W527" s="36"/>
      <c r="X527" s="36"/>
    </row>
    <row r="528" spans="2:24" x14ac:dyDescent="0.25">
      <c r="B528" s="283" t="s">
        <v>777</v>
      </c>
      <c r="C528" s="282" t="s">
        <v>778</v>
      </c>
      <c r="D528" s="290"/>
      <c r="E528" s="290"/>
      <c r="F528" s="290"/>
      <c r="G528" s="290"/>
      <c r="H528" s="290"/>
      <c r="I528" s="290"/>
      <c r="J528" s="290"/>
      <c r="K528" s="290"/>
      <c r="L528" s="290"/>
      <c r="M528" s="290"/>
      <c r="N528" s="290"/>
      <c r="O528" s="290"/>
      <c r="P528" s="290"/>
      <c r="Q528" s="290"/>
      <c r="R528" s="290"/>
      <c r="S528" s="290"/>
      <c r="T528" s="290"/>
      <c r="U528" s="290"/>
      <c r="V528" s="290"/>
      <c r="W528" s="36"/>
      <c r="X528" s="36"/>
    </row>
    <row r="529" spans="2:24" x14ac:dyDescent="0.25">
      <c r="B529" s="283" t="s">
        <v>779</v>
      </c>
      <c r="C529" s="282" t="s">
        <v>780</v>
      </c>
      <c r="D529" s="289"/>
      <c r="E529" s="289"/>
      <c r="F529" s="289"/>
      <c r="G529" s="289"/>
      <c r="H529" s="289"/>
      <c r="I529" s="289"/>
      <c r="J529" s="289"/>
      <c r="K529" s="289"/>
      <c r="L529" s="289"/>
      <c r="M529" s="289"/>
      <c r="N529" s="289"/>
      <c r="O529" s="289"/>
      <c r="P529" s="289"/>
      <c r="Q529" s="289"/>
      <c r="R529" s="289"/>
      <c r="S529" s="289"/>
      <c r="T529" s="289"/>
      <c r="U529" s="289"/>
      <c r="V529" s="289"/>
      <c r="W529" s="36"/>
      <c r="X529" s="36"/>
    </row>
    <row r="530" spans="2:24" x14ac:dyDescent="0.25">
      <c r="B530" s="283" t="s">
        <v>781</v>
      </c>
      <c r="C530" s="282" t="s">
        <v>782</v>
      </c>
      <c r="D530" s="289"/>
      <c r="E530" s="289"/>
      <c r="F530" s="289"/>
      <c r="G530" s="289"/>
      <c r="H530" s="289"/>
      <c r="I530" s="289"/>
      <c r="J530" s="289"/>
      <c r="K530" s="289"/>
      <c r="L530" s="289"/>
      <c r="M530" s="289"/>
      <c r="N530" s="289"/>
      <c r="O530" s="289"/>
      <c r="P530" s="289"/>
      <c r="Q530" s="289"/>
      <c r="R530" s="289"/>
      <c r="S530" s="289"/>
      <c r="T530" s="289"/>
      <c r="U530" s="289"/>
      <c r="V530" s="289"/>
      <c r="W530" s="36"/>
      <c r="X530" s="36"/>
    </row>
    <row r="531" spans="2:24" x14ac:dyDescent="0.25">
      <c r="B531" s="283" t="s">
        <v>783</v>
      </c>
      <c r="C531" s="282" t="s">
        <v>784</v>
      </c>
      <c r="D531" s="289"/>
      <c r="E531" s="289"/>
      <c r="F531" s="289"/>
      <c r="G531" s="289"/>
      <c r="H531" s="289"/>
      <c r="I531" s="289"/>
      <c r="J531" s="289"/>
      <c r="K531" s="289"/>
      <c r="L531" s="289"/>
      <c r="M531" s="289"/>
      <c r="N531" s="289"/>
      <c r="O531" s="289"/>
      <c r="P531" s="289"/>
      <c r="Q531" s="289"/>
      <c r="R531" s="289"/>
      <c r="S531" s="289"/>
      <c r="T531" s="289"/>
      <c r="U531" s="289"/>
      <c r="V531" s="289"/>
      <c r="W531" s="36"/>
      <c r="X531" s="36"/>
    </row>
    <row r="532" spans="2:24" x14ac:dyDescent="0.25">
      <c r="B532" s="283" t="s">
        <v>785</v>
      </c>
      <c r="C532" s="282" t="s">
        <v>786</v>
      </c>
      <c r="D532" s="289"/>
      <c r="E532" s="289"/>
      <c r="F532" s="289"/>
      <c r="G532" s="289"/>
      <c r="H532" s="289"/>
      <c r="I532" s="289"/>
      <c r="J532" s="289"/>
      <c r="K532" s="289"/>
      <c r="L532" s="289"/>
      <c r="M532" s="289"/>
      <c r="N532" s="289"/>
      <c r="O532" s="289"/>
      <c r="P532" s="289"/>
      <c r="Q532" s="289"/>
      <c r="R532" s="289"/>
      <c r="S532" s="289"/>
      <c r="T532" s="289"/>
      <c r="U532" s="289"/>
      <c r="V532" s="289"/>
      <c r="W532" s="36"/>
      <c r="X532" s="36"/>
    </row>
    <row r="533" spans="2:24" x14ac:dyDescent="0.25">
      <c r="B533" s="283" t="s">
        <v>787</v>
      </c>
      <c r="C533" s="282" t="s">
        <v>788</v>
      </c>
      <c r="D533" s="289"/>
      <c r="E533" s="289"/>
      <c r="F533" s="289"/>
      <c r="G533" s="289"/>
      <c r="H533" s="289"/>
      <c r="I533" s="289"/>
      <c r="J533" s="289"/>
      <c r="K533" s="289"/>
      <c r="L533" s="289"/>
      <c r="M533" s="289"/>
      <c r="N533" s="289"/>
      <c r="O533" s="289"/>
      <c r="P533" s="289"/>
      <c r="Q533" s="289"/>
      <c r="R533" s="289"/>
      <c r="S533" s="289"/>
      <c r="T533" s="289"/>
      <c r="U533" s="289"/>
      <c r="V533" s="289"/>
      <c r="W533" s="36"/>
      <c r="X533" s="36"/>
    </row>
    <row r="534" spans="2:24" x14ac:dyDescent="0.25">
      <c r="B534" s="283" t="s">
        <v>789</v>
      </c>
      <c r="C534" s="282" t="s">
        <v>790</v>
      </c>
      <c r="D534" s="289"/>
      <c r="E534" s="289"/>
      <c r="F534" s="289"/>
      <c r="G534" s="289"/>
      <c r="H534" s="289"/>
      <c r="I534" s="289"/>
      <c r="J534" s="289"/>
      <c r="K534" s="289"/>
      <c r="L534" s="289"/>
      <c r="M534" s="289"/>
      <c r="N534" s="289"/>
      <c r="O534" s="289"/>
      <c r="P534" s="289"/>
      <c r="Q534" s="289"/>
      <c r="R534" s="289"/>
      <c r="S534" s="289"/>
      <c r="T534" s="289"/>
      <c r="U534" s="289"/>
      <c r="V534" s="289"/>
      <c r="W534" s="36"/>
      <c r="X534" s="36"/>
    </row>
    <row r="535" spans="2:24" x14ac:dyDescent="0.25">
      <c r="B535" s="283" t="s">
        <v>791</v>
      </c>
      <c r="C535" s="282" t="s">
        <v>792</v>
      </c>
    </row>
    <row r="536" spans="2:24" x14ac:dyDescent="0.25">
      <c r="B536" s="283" t="s">
        <v>793</v>
      </c>
      <c r="C536" s="282" t="s">
        <v>794</v>
      </c>
    </row>
    <row r="537" spans="2:24" x14ac:dyDescent="0.25">
      <c r="B537" s="283" t="s">
        <v>795</v>
      </c>
      <c r="C537" s="282" t="s">
        <v>796</v>
      </c>
    </row>
    <row r="538" spans="2:24" x14ac:dyDescent="0.25">
      <c r="B538" s="283" t="s">
        <v>797</v>
      </c>
      <c r="C538" s="282" t="s">
        <v>798</v>
      </c>
    </row>
    <row r="541" spans="2:24" ht="15.5" x14ac:dyDescent="0.35">
      <c r="B541" s="332" t="s">
        <v>799</v>
      </c>
    </row>
    <row r="542" spans="2:24" x14ac:dyDescent="0.25">
      <c r="B542" s="13" t="s">
        <v>800</v>
      </c>
    </row>
    <row r="543" spans="2:24" ht="26" x14ac:dyDescent="0.25">
      <c r="B543" s="334" t="s">
        <v>801</v>
      </c>
      <c r="C543" s="334" t="s">
        <v>802</v>
      </c>
      <c r="D543" s="334" t="s">
        <v>803</v>
      </c>
      <c r="E543" s="334" t="s">
        <v>804</v>
      </c>
    </row>
    <row r="544" spans="2:24" x14ac:dyDescent="0.25">
      <c r="B544" s="333" t="s">
        <v>805</v>
      </c>
      <c r="C544" s="335" t="s">
        <v>806</v>
      </c>
      <c r="D544" s="333" t="s">
        <v>807</v>
      </c>
      <c r="E544" s="333">
        <v>0.95</v>
      </c>
    </row>
    <row r="545" spans="2:5" ht="25" x14ac:dyDescent="0.25">
      <c r="B545" s="294" t="s">
        <v>808</v>
      </c>
      <c r="C545" s="336" t="s">
        <v>809</v>
      </c>
      <c r="D545" s="333" t="s">
        <v>808</v>
      </c>
      <c r="E545" s="333">
        <v>0.98</v>
      </c>
    </row>
    <row r="546" spans="2:5" ht="37.5" x14ac:dyDescent="0.25">
      <c r="B546" s="294" t="s">
        <v>810</v>
      </c>
      <c r="C546" s="336" t="s">
        <v>811</v>
      </c>
      <c r="D546" s="333"/>
      <c r="E546" s="333" t="s">
        <v>812</v>
      </c>
    </row>
    <row r="548" spans="2:5" ht="15.5" x14ac:dyDescent="0.35">
      <c r="B548" s="202" t="s">
        <v>813</v>
      </c>
    </row>
    <row r="549" spans="2:5" ht="26" x14ac:dyDescent="0.25">
      <c r="B549" s="334" t="s">
        <v>814</v>
      </c>
      <c r="C549" s="334" t="s">
        <v>815</v>
      </c>
    </row>
    <row r="550" spans="2:5" x14ac:dyDescent="0.25">
      <c r="B550" s="287" t="s">
        <v>816</v>
      </c>
      <c r="C550" s="357">
        <v>0.45</v>
      </c>
    </row>
    <row r="551" spans="2:5" x14ac:dyDescent="0.25">
      <c r="B551" s="287" t="s">
        <v>817</v>
      </c>
      <c r="C551" s="357"/>
    </row>
    <row r="552" spans="2:5" x14ac:dyDescent="0.25">
      <c r="B552" s="356" t="s">
        <v>818</v>
      </c>
      <c r="C552" s="357">
        <v>0.17</v>
      </c>
    </row>
    <row r="553" spans="2:5" x14ac:dyDescent="0.25">
      <c r="B553" s="356" t="s">
        <v>819</v>
      </c>
      <c r="C553" s="357">
        <v>0.15</v>
      </c>
    </row>
    <row r="554" spans="2:5" x14ac:dyDescent="0.25">
      <c r="B554" s="356" t="s">
        <v>820</v>
      </c>
      <c r="C554" s="357">
        <v>0.25</v>
      </c>
    </row>
    <row r="555" spans="2:5" x14ac:dyDescent="0.25">
      <c r="B555" s="356" t="s">
        <v>821</v>
      </c>
      <c r="C555" s="357">
        <v>0.5</v>
      </c>
    </row>
    <row r="556" spans="2:5" x14ac:dyDescent="0.25">
      <c r="B556" s="356" t="s">
        <v>822</v>
      </c>
      <c r="C556" s="357">
        <v>0.25</v>
      </c>
    </row>
    <row r="557" spans="2:5" x14ac:dyDescent="0.25">
      <c r="B557" s="356" t="s">
        <v>823</v>
      </c>
      <c r="C557" s="357">
        <v>0.5</v>
      </c>
    </row>
    <row r="559" spans="2:5" ht="15.5" x14ac:dyDescent="0.35">
      <c r="B559" s="332" t="s">
        <v>824</v>
      </c>
    </row>
    <row r="560" spans="2:5" ht="18.75" customHeight="1" x14ac:dyDescent="0.25">
      <c r="B560" s="631" t="s">
        <v>825</v>
      </c>
      <c r="C560" s="358" t="s">
        <v>826</v>
      </c>
      <c r="D560" s="358"/>
      <c r="E560" s="631" t="s">
        <v>827</v>
      </c>
    </row>
    <row r="561" spans="2:5" ht="20.25" customHeight="1" x14ac:dyDescent="0.25">
      <c r="B561" s="631"/>
      <c r="C561" s="358" t="s">
        <v>828</v>
      </c>
      <c r="D561" s="358" t="s">
        <v>829</v>
      </c>
      <c r="E561" s="631"/>
    </row>
    <row r="562" spans="2:5" ht="37.5" x14ac:dyDescent="0.25">
      <c r="B562" s="359" t="s">
        <v>830</v>
      </c>
      <c r="C562" s="293" t="s">
        <v>831</v>
      </c>
      <c r="D562" s="293" t="s">
        <v>831</v>
      </c>
      <c r="E562" s="293" t="s">
        <v>831</v>
      </c>
    </row>
    <row r="563" spans="2:5" ht="31.5" customHeight="1" x14ac:dyDescent="0.25">
      <c r="B563" s="359" t="s">
        <v>832</v>
      </c>
      <c r="C563" s="293" t="s">
        <v>833</v>
      </c>
      <c r="D563" s="293" t="s">
        <v>833</v>
      </c>
      <c r="E563" s="293" t="s">
        <v>833</v>
      </c>
    </row>
    <row r="564" spans="2:5" ht="31.5" customHeight="1" x14ac:dyDescent="0.25">
      <c r="B564" s="360" t="s">
        <v>834</v>
      </c>
      <c r="C564" s="293" t="s">
        <v>835</v>
      </c>
      <c r="D564" s="293" t="s">
        <v>836</v>
      </c>
      <c r="E564" s="293" t="s">
        <v>837</v>
      </c>
    </row>
    <row r="565" spans="2:5" ht="13" x14ac:dyDescent="0.25">
      <c r="B565" s="360" t="s">
        <v>838</v>
      </c>
      <c r="C565" s="293" t="s">
        <v>839</v>
      </c>
      <c r="D565" s="293" t="s">
        <v>839</v>
      </c>
      <c r="E565" s="293" t="s">
        <v>839</v>
      </c>
    </row>
    <row r="567" spans="2:5" ht="13" x14ac:dyDescent="0.3">
      <c r="B567" s="128" t="s">
        <v>840</v>
      </c>
      <c r="C567" s="379" t="s">
        <v>841</v>
      </c>
      <c r="D567" s="128" t="s">
        <v>842</v>
      </c>
    </row>
    <row r="568" spans="2:5" ht="13" x14ac:dyDescent="0.3">
      <c r="B568" s="283">
        <v>1</v>
      </c>
      <c r="C568" s="379" t="s">
        <v>843</v>
      </c>
      <c r="D568" s="140">
        <v>31</v>
      </c>
    </row>
    <row r="569" spans="2:5" ht="13" x14ac:dyDescent="0.3">
      <c r="B569" s="283">
        <v>2</v>
      </c>
      <c r="C569" s="379" t="s">
        <v>844</v>
      </c>
      <c r="D569" s="140">
        <v>28</v>
      </c>
    </row>
    <row r="570" spans="2:5" ht="13" x14ac:dyDescent="0.3">
      <c r="B570" s="283">
        <v>3</v>
      </c>
      <c r="C570" s="379" t="s">
        <v>845</v>
      </c>
      <c r="D570" s="140">
        <v>31</v>
      </c>
    </row>
    <row r="571" spans="2:5" ht="13" x14ac:dyDescent="0.3">
      <c r="B571" s="283">
        <v>4</v>
      </c>
      <c r="C571" s="379" t="s">
        <v>846</v>
      </c>
      <c r="D571" s="140">
        <v>30</v>
      </c>
    </row>
    <row r="572" spans="2:5" ht="13" x14ac:dyDescent="0.3">
      <c r="B572" s="283">
        <v>5</v>
      </c>
      <c r="C572" s="379" t="s">
        <v>847</v>
      </c>
      <c r="D572" s="140">
        <v>31</v>
      </c>
    </row>
    <row r="573" spans="2:5" ht="13" x14ac:dyDescent="0.3">
      <c r="B573" s="283">
        <v>6</v>
      </c>
      <c r="C573" s="379" t="s">
        <v>848</v>
      </c>
      <c r="D573" s="140">
        <v>30</v>
      </c>
    </row>
    <row r="574" spans="2:5" ht="13" x14ac:dyDescent="0.3">
      <c r="B574" s="283">
        <v>7</v>
      </c>
      <c r="C574" s="379" t="s">
        <v>849</v>
      </c>
      <c r="D574" s="140">
        <v>31</v>
      </c>
    </row>
    <row r="575" spans="2:5" ht="13" x14ac:dyDescent="0.3">
      <c r="B575" s="283">
        <v>8</v>
      </c>
      <c r="C575" s="379" t="s">
        <v>850</v>
      </c>
      <c r="D575" s="140">
        <v>31</v>
      </c>
    </row>
    <row r="576" spans="2:5" ht="13" x14ac:dyDescent="0.3">
      <c r="B576" s="283">
        <v>9</v>
      </c>
      <c r="C576" s="379" t="s">
        <v>851</v>
      </c>
      <c r="D576" s="140">
        <v>30</v>
      </c>
    </row>
    <row r="577" spans="2:4" ht="13" x14ac:dyDescent="0.3">
      <c r="B577" s="283">
        <v>10</v>
      </c>
      <c r="C577" s="379" t="s">
        <v>852</v>
      </c>
      <c r="D577" s="140">
        <v>31</v>
      </c>
    </row>
    <row r="578" spans="2:4" ht="13" x14ac:dyDescent="0.3">
      <c r="B578" s="283">
        <v>11</v>
      </c>
      <c r="C578" s="379" t="s">
        <v>853</v>
      </c>
      <c r="D578" s="140">
        <v>30</v>
      </c>
    </row>
    <row r="579" spans="2:4" ht="13" x14ac:dyDescent="0.3">
      <c r="B579" s="283">
        <v>12</v>
      </c>
      <c r="C579" s="379" t="s">
        <v>854</v>
      </c>
      <c r="D579" s="140">
        <v>31</v>
      </c>
    </row>
    <row r="581" spans="2:4" ht="13" x14ac:dyDescent="0.3">
      <c r="B581" s="3" t="s">
        <v>855</v>
      </c>
    </row>
    <row r="582" spans="2:4" x14ac:dyDescent="0.25">
      <c r="B582" s="287" t="s">
        <v>856</v>
      </c>
      <c r="C582" s="287">
        <v>25</v>
      </c>
    </row>
    <row r="583" spans="2:4" x14ac:dyDescent="0.25">
      <c r="B583" s="287" t="s">
        <v>857</v>
      </c>
      <c r="C583" s="287">
        <v>298</v>
      </c>
    </row>
  </sheetData>
  <sheetProtection algorithmName="SHA-512" hashValue="gsyNK8+j8tM06u6m/0plvD5TeiFXi8mflAG3QvgmvVFAvPZ+WW1Wx78wyon8noj5ezvBMf8I6yYvdguZxMfx6w==" saltValue="i0160CPjDMhGQMEpKSbxRA==" spinCount="100000" sheet="1" objects="1" scenarios="1"/>
  <customSheetViews>
    <customSheetView guid="{A6F5A5FB-2E6E-47D3-842C-0D3D06DB341A}" scale="70">
      <selection activeCell="B2" sqref="B2"/>
      <rowBreaks count="2" manualBreakCount="2">
        <brk id="42" min="1" max="4" man="1"/>
        <brk id="194" min="1" max="4" man="1"/>
      </rowBreaks>
      <pageMargins left="0" right="0" top="0" bottom="0" header="0" footer="0"/>
      <printOptions horizontalCentered="1" verticalCentered="1"/>
      <pageSetup scale="52" fitToHeight="2" orientation="portrait" r:id="rId1"/>
      <headerFooter alignWithMargins="0"/>
    </customSheetView>
  </customSheetViews>
  <mergeCells count="34">
    <mergeCell ref="C13:G13"/>
    <mergeCell ref="C14:G14"/>
    <mergeCell ref="C15:G15"/>
    <mergeCell ref="C8:G8"/>
    <mergeCell ref="C9:G9"/>
    <mergeCell ref="C10:G10"/>
    <mergeCell ref="C11:G11"/>
    <mergeCell ref="C12:G12"/>
    <mergeCell ref="C7:G7"/>
    <mergeCell ref="X516:X517"/>
    <mergeCell ref="H429:R429"/>
    <mergeCell ref="S429:U429"/>
    <mergeCell ref="B40:E40"/>
    <mergeCell ref="B41:E41"/>
    <mergeCell ref="E451:E452"/>
    <mergeCell ref="B451:B452"/>
    <mergeCell ref="D451:D452"/>
    <mergeCell ref="F451:F452"/>
    <mergeCell ref="G451:G452"/>
    <mergeCell ref="C451:C452"/>
    <mergeCell ref="X483:X484"/>
    <mergeCell ref="C16:G16"/>
    <mergeCell ref="C17:G17"/>
    <mergeCell ref="C18:G18"/>
    <mergeCell ref="C19:G19"/>
    <mergeCell ref="C20:G20"/>
    <mergeCell ref="C21:G21"/>
    <mergeCell ref="C22:G22"/>
    <mergeCell ref="B560:B561"/>
    <mergeCell ref="E560:E561"/>
    <mergeCell ref="B27:B28"/>
    <mergeCell ref="B23:E23"/>
    <mergeCell ref="B24:E24"/>
    <mergeCell ref="E27:I27"/>
  </mergeCells>
  <phoneticPr fontId="2" type="noConversion"/>
  <dataValidations disablePrompts="1" count="1">
    <dataValidation allowBlank="1" sqref="D568:D579" xr:uid="{00000000-0002-0000-0D00-000000000000}"/>
  </dataValidations>
  <printOptions horizontalCentered="1" verticalCentered="1"/>
  <pageMargins left="0.5" right="0.5" top="0.75" bottom="0.75" header="0.5" footer="0.5"/>
  <pageSetup scale="52" fitToHeight="2" orientation="portrait" r:id="rId2"/>
  <headerFooter alignWithMargins="0"/>
  <rowBreaks count="1" manualBreakCount="1">
    <brk id="44" min="1" max="4"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66CC"/>
    <pageSetUpPr fitToPage="1"/>
  </sheetPr>
  <dimension ref="A1:S161"/>
  <sheetViews>
    <sheetView showGridLines="0" zoomScale="80" zoomScaleNormal="80" workbookViewId="0">
      <selection activeCell="C12" sqref="C12"/>
    </sheetView>
  </sheetViews>
  <sheetFormatPr defaultColWidth="9.1796875" defaultRowHeight="12.5" x14ac:dyDescent="0.25"/>
  <cols>
    <col min="1" max="1" width="4.7265625" style="13" customWidth="1"/>
    <col min="2" max="2" width="46.7265625" style="41" customWidth="1"/>
    <col min="3" max="3" width="25.1796875" style="41" customWidth="1"/>
    <col min="4" max="4" width="26.26953125" style="41" customWidth="1"/>
    <col min="5" max="5" width="29.54296875" style="60" bestFit="1" customWidth="1"/>
    <col min="6" max="6" width="31.54296875" style="60" bestFit="1" customWidth="1"/>
    <col min="7" max="7" width="26.7265625" style="60" bestFit="1" customWidth="1"/>
    <col min="8" max="8" width="29" style="60" bestFit="1" customWidth="1"/>
    <col min="9" max="19" width="9.1796875" style="60"/>
    <col min="20" max="16384" width="9.1796875" style="13"/>
  </cols>
  <sheetData>
    <row r="1" spans="1:19" ht="13" x14ac:dyDescent="0.3">
      <c r="B1" s="14" t="s">
        <v>115</v>
      </c>
      <c r="E1" s="13"/>
      <c r="F1" s="13"/>
      <c r="G1" s="13"/>
      <c r="H1" s="13"/>
      <c r="I1" s="13"/>
      <c r="J1" s="13"/>
      <c r="K1" s="13"/>
      <c r="L1" s="13"/>
      <c r="M1" s="13"/>
      <c r="N1" s="13"/>
      <c r="O1" s="13"/>
      <c r="P1" s="13"/>
      <c r="Q1" s="13"/>
      <c r="R1" s="13"/>
      <c r="S1" s="13"/>
    </row>
    <row r="2" spans="1:19" ht="13" x14ac:dyDescent="0.3">
      <c r="B2" s="14" t="s">
        <v>116</v>
      </c>
      <c r="E2" s="13"/>
      <c r="F2" s="13"/>
      <c r="G2" s="13"/>
      <c r="H2" s="13"/>
      <c r="I2" s="13"/>
      <c r="J2" s="13"/>
      <c r="K2" s="13"/>
      <c r="L2" s="13"/>
      <c r="M2" s="13"/>
      <c r="N2" s="13"/>
      <c r="O2" s="13"/>
      <c r="P2" s="13"/>
      <c r="Q2" s="13"/>
      <c r="R2" s="13"/>
      <c r="S2" s="13"/>
    </row>
    <row r="3" spans="1:19" ht="18" x14ac:dyDescent="0.4">
      <c r="B3" s="68" t="s">
        <v>117</v>
      </c>
      <c r="E3" s="13"/>
      <c r="F3" s="13"/>
      <c r="G3" s="13"/>
      <c r="H3" s="13"/>
      <c r="I3" s="13"/>
      <c r="J3" s="13"/>
      <c r="K3" s="13"/>
      <c r="L3" s="13"/>
      <c r="M3" s="13"/>
      <c r="N3" s="13"/>
      <c r="O3" s="13"/>
      <c r="P3" s="13"/>
      <c r="Q3" s="13"/>
      <c r="R3" s="13"/>
      <c r="S3" s="13"/>
    </row>
    <row r="4" spans="1:19" ht="13" x14ac:dyDescent="0.3">
      <c r="B4" s="58"/>
      <c r="E4" s="13"/>
      <c r="F4" s="13"/>
      <c r="G4" s="13"/>
      <c r="H4" s="13"/>
      <c r="I4" s="13"/>
      <c r="J4" s="13"/>
      <c r="K4" s="13"/>
      <c r="L4" s="13"/>
      <c r="M4" s="13"/>
      <c r="N4" s="13"/>
      <c r="O4" s="13"/>
      <c r="P4" s="13"/>
      <c r="Q4" s="13"/>
      <c r="R4" s="13"/>
      <c r="S4" s="13"/>
    </row>
    <row r="5" spans="1:19" ht="13" x14ac:dyDescent="0.3">
      <c r="B5" s="58" t="s">
        <v>118</v>
      </c>
      <c r="C5" s="69"/>
      <c r="E5" s="13"/>
      <c r="F5" s="13"/>
      <c r="G5" s="13"/>
      <c r="H5" s="13"/>
      <c r="I5" s="13"/>
      <c r="J5" s="13"/>
      <c r="K5" s="13"/>
      <c r="L5" s="13"/>
      <c r="M5" s="13"/>
      <c r="N5" s="13"/>
      <c r="O5" s="13"/>
      <c r="P5" s="13"/>
      <c r="Q5" s="13"/>
      <c r="R5" s="13"/>
      <c r="S5" s="13"/>
    </row>
    <row r="6" spans="1:19" ht="13" x14ac:dyDescent="0.3">
      <c r="B6" s="298" t="s">
        <v>119</v>
      </c>
      <c r="C6" s="299" t="s">
        <v>120</v>
      </c>
      <c r="D6" s="300"/>
      <c r="E6" s="13"/>
      <c r="F6" s="13"/>
      <c r="G6" s="13"/>
      <c r="H6" s="13"/>
      <c r="I6" s="13"/>
      <c r="J6" s="13"/>
      <c r="K6" s="13"/>
      <c r="L6" s="13"/>
      <c r="M6" s="13"/>
      <c r="N6" s="13"/>
      <c r="O6" s="13"/>
      <c r="P6" s="13"/>
      <c r="Q6" s="13"/>
      <c r="R6" s="13"/>
      <c r="S6" s="13"/>
    </row>
    <row r="7" spans="1:19" ht="13" x14ac:dyDescent="0.3">
      <c r="B7" s="70" t="s">
        <v>121</v>
      </c>
      <c r="C7" s="550" t="s">
        <v>122</v>
      </c>
      <c r="D7" s="551"/>
      <c r="E7" s="13"/>
      <c r="F7" s="13"/>
      <c r="G7" s="13"/>
      <c r="H7" s="13"/>
      <c r="I7" s="13"/>
      <c r="J7" s="13"/>
      <c r="K7" s="13"/>
      <c r="L7" s="13"/>
      <c r="M7" s="13"/>
      <c r="N7" s="13"/>
      <c r="O7" s="13"/>
      <c r="P7" s="13"/>
      <c r="Q7" s="13"/>
      <c r="R7" s="13"/>
      <c r="S7" s="13"/>
    </row>
    <row r="8" spans="1:19" ht="13" x14ac:dyDescent="0.3">
      <c r="B8" s="71" t="s">
        <v>123</v>
      </c>
      <c r="C8" s="552" t="s">
        <v>124</v>
      </c>
      <c r="D8" s="553"/>
      <c r="E8" s="13"/>
      <c r="F8" s="13"/>
      <c r="G8" s="13"/>
      <c r="H8" s="13"/>
      <c r="I8" s="13"/>
      <c r="J8" s="13"/>
      <c r="K8" s="13"/>
      <c r="L8" s="13"/>
      <c r="M8" s="13"/>
      <c r="N8" s="13"/>
      <c r="O8" s="13"/>
      <c r="P8" s="13"/>
      <c r="Q8" s="13"/>
      <c r="R8" s="13"/>
      <c r="S8" s="13"/>
    </row>
    <row r="9" spans="1:19" ht="13" x14ac:dyDescent="0.3">
      <c r="B9" s="72" t="s">
        <v>125</v>
      </c>
      <c r="E9" s="13"/>
      <c r="F9" s="13"/>
      <c r="G9" s="13"/>
      <c r="H9" s="13"/>
      <c r="I9" s="13"/>
      <c r="J9" s="13"/>
      <c r="K9" s="13"/>
      <c r="L9" s="13"/>
      <c r="M9" s="13"/>
      <c r="N9" s="13"/>
      <c r="O9" s="13"/>
      <c r="P9" s="13"/>
      <c r="Q9" s="13"/>
      <c r="R9" s="13"/>
      <c r="S9" s="13"/>
    </row>
    <row r="10" spans="1:19" x14ac:dyDescent="0.25">
      <c r="E10" s="13"/>
      <c r="F10" s="13"/>
      <c r="G10" s="13"/>
      <c r="H10" s="13"/>
      <c r="I10" s="13"/>
      <c r="J10" s="13"/>
      <c r="K10" s="13"/>
      <c r="L10" s="13"/>
      <c r="M10" s="13"/>
      <c r="N10" s="13"/>
      <c r="O10" s="13"/>
      <c r="P10" s="13"/>
      <c r="Q10" s="13"/>
      <c r="R10" s="13"/>
      <c r="S10" s="13"/>
    </row>
    <row r="11" spans="1:19" s="60" customFormat="1" ht="13" x14ac:dyDescent="0.3">
      <c r="A11" s="13"/>
      <c r="B11" s="77" t="s">
        <v>126</v>
      </c>
      <c r="C11" s="434">
        <f>'III. Data Inputs-BE'!C23</f>
        <v>0</v>
      </c>
      <c r="D11" s="41"/>
      <c r="E11" s="13"/>
      <c r="F11" s="13"/>
      <c r="G11" s="13"/>
      <c r="H11" s="13"/>
      <c r="I11" s="13"/>
      <c r="J11" s="13"/>
      <c r="K11" s="13"/>
      <c r="L11" s="13"/>
      <c r="M11" s="13"/>
      <c r="N11" s="13"/>
      <c r="O11" s="13"/>
      <c r="P11" s="13"/>
      <c r="Q11" s="13"/>
      <c r="R11" s="13"/>
      <c r="S11" s="13"/>
    </row>
    <row r="12" spans="1:19" s="60" customFormat="1" ht="13" x14ac:dyDescent="0.3">
      <c r="A12" s="13"/>
      <c r="B12" s="77" t="s">
        <v>127</v>
      </c>
      <c r="C12" s="438">
        <f>'III. Data Inputs-BE'!C24</f>
        <v>0</v>
      </c>
      <c r="D12" s="41"/>
      <c r="E12" s="13"/>
      <c r="F12" s="13"/>
      <c r="G12" s="13"/>
      <c r="H12" s="13"/>
      <c r="I12" s="13"/>
      <c r="J12" s="13"/>
      <c r="K12" s="13"/>
      <c r="L12" s="13"/>
      <c r="M12" s="13"/>
      <c r="N12" s="13"/>
      <c r="O12" s="13"/>
      <c r="P12" s="13"/>
      <c r="Q12" s="13"/>
      <c r="R12" s="13"/>
      <c r="S12" s="13"/>
    </row>
    <row r="13" spans="1:19" s="60" customFormat="1" ht="13" x14ac:dyDescent="0.3">
      <c r="A13" s="13"/>
      <c r="B13" s="77" t="s">
        <v>128</v>
      </c>
      <c r="C13" s="439">
        <f>'III. Data Inputs-BE'!C25</f>
        <v>0</v>
      </c>
      <c r="D13" s="41"/>
      <c r="E13" s="13"/>
      <c r="F13" s="13"/>
      <c r="G13" s="13"/>
      <c r="H13" s="13"/>
      <c r="I13" s="13"/>
      <c r="J13" s="13"/>
      <c r="K13" s="13"/>
      <c r="L13" s="13"/>
      <c r="M13" s="13"/>
      <c r="N13" s="13"/>
      <c r="O13" s="13"/>
      <c r="P13" s="13"/>
      <c r="Q13" s="13"/>
      <c r="R13" s="13"/>
      <c r="S13" s="13"/>
    </row>
    <row r="14" spans="1:19" x14ac:dyDescent="0.25">
      <c r="E14" s="13"/>
      <c r="F14" s="13"/>
      <c r="G14" s="13"/>
      <c r="H14" s="13"/>
      <c r="I14" s="13"/>
      <c r="J14" s="13"/>
      <c r="K14" s="13"/>
      <c r="L14" s="13"/>
      <c r="M14" s="13"/>
      <c r="N14" s="13"/>
      <c r="O14" s="13"/>
      <c r="P14" s="13"/>
      <c r="Q14" s="13"/>
      <c r="R14" s="13"/>
      <c r="S14" s="13"/>
    </row>
    <row r="15" spans="1:19" ht="15.5" x14ac:dyDescent="0.35">
      <c r="B15" s="67" t="s">
        <v>129</v>
      </c>
      <c r="E15" s="13"/>
      <c r="F15" s="13"/>
      <c r="G15" s="13"/>
      <c r="H15" s="13"/>
      <c r="I15" s="13"/>
      <c r="J15" s="13"/>
      <c r="K15" s="13"/>
      <c r="L15" s="13"/>
      <c r="M15" s="13"/>
      <c r="N15" s="13"/>
      <c r="O15" s="13"/>
      <c r="P15" s="13"/>
      <c r="Q15" s="13"/>
      <c r="R15" s="13"/>
      <c r="S15" s="13"/>
    </row>
    <row r="16" spans="1:19" x14ac:dyDescent="0.25">
      <c r="E16" s="13"/>
      <c r="F16" s="13"/>
      <c r="G16" s="13"/>
      <c r="H16" s="13"/>
      <c r="I16" s="13"/>
      <c r="J16" s="13"/>
      <c r="K16" s="13"/>
      <c r="L16" s="13"/>
      <c r="M16" s="13"/>
      <c r="N16" s="13"/>
      <c r="O16" s="13"/>
      <c r="P16" s="13"/>
      <c r="Q16" s="13"/>
      <c r="R16" s="13"/>
      <c r="S16" s="13"/>
    </row>
    <row r="17" spans="2:19" ht="13" x14ac:dyDescent="0.3">
      <c r="B17" s="58" t="s">
        <v>130</v>
      </c>
      <c r="E17" s="13"/>
      <c r="F17" s="13"/>
      <c r="G17" s="13"/>
      <c r="H17" s="13"/>
      <c r="I17" s="13"/>
      <c r="J17" s="13"/>
      <c r="K17" s="13"/>
      <c r="L17" s="13"/>
      <c r="M17" s="13"/>
      <c r="N17" s="13"/>
      <c r="O17" s="13"/>
      <c r="P17" s="13"/>
      <c r="Q17" s="13"/>
      <c r="R17" s="13"/>
      <c r="S17" s="13"/>
    </row>
    <row r="18" spans="2:19" s="3" customFormat="1" ht="15" x14ac:dyDescent="0.4">
      <c r="B18" s="435" t="s">
        <v>131</v>
      </c>
      <c r="C18" s="435" t="s">
        <v>132</v>
      </c>
      <c r="D18" s="435" t="s">
        <v>133</v>
      </c>
    </row>
    <row r="19" spans="2:19" s="3" customFormat="1" ht="13" x14ac:dyDescent="0.3">
      <c r="B19" s="436" t="str">
        <f>'VII. Total  BE CH4'!B18</f>
        <v>Population 1</v>
      </c>
      <c r="C19" s="436">
        <f>'VII. Total  BE CH4'!G18</f>
        <v>0</v>
      </c>
      <c r="D19" s="436">
        <f>'VII. Total  BE CH4'!H18</f>
        <v>0</v>
      </c>
    </row>
    <row r="20" spans="2:19" s="3" customFormat="1" ht="13" x14ac:dyDescent="0.3">
      <c r="B20" s="301" t="str">
        <f>'VII. Total  BE CH4'!B19</f>
        <v>Population 2</v>
      </c>
      <c r="C20" s="301">
        <f>'VII. Total  BE CH4'!G19</f>
        <v>0</v>
      </c>
      <c r="D20" s="301">
        <f>'VII. Total  BE CH4'!H19</f>
        <v>0</v>
      </c>
    </row>
    <row r="21" spans="2:19" s="3" customFormat="1" ht="13" x14ac:dyDescent="0.3">
      <c r="B21" s="301" t="str">
        <f>'VII. Total  BE CH4'!B20</f>
        <v>Population 3</v>
      </c>
      <c r="C21" s="301">
        <f>'VII. Total  BE CH4'!G20</f>
        <v>0</v>
      </c>
      <c r="D21" s="301">
        <f>'VII. Total  BE CH4'!H20</f>
        <v>0</v>
      </c>
    </row>
    <row r="22" spans="2:19" s="3" customFormat="1" ht="13" x14ac:dyDescent="0.3">
      <c r="B22" s="301" t="str">
        <f>'VII. Total  BE CH4'!B21</f>
        <v>Population 4</v>
      </c>
      <c r="C22" s="301">
        <f>'VII. Total  BE CH4'!G21</f>
        <v>0</v>
      </c>
      <c r="D22" s="301">
        <f>'VII. Total  BE CH4'!H21</f>
        <v>0</v>
      </c>
    </row>
    <row r="23" spans="2:19" s="3" customFormat="1" ht="13" x14ac:dyDescent="0.3">
      <c r="B23" s="301" t="str">
        <f>'VII. Total  BE CH4'!B22</f>
        <v>Population 5</v>
      </c>
      <c r="C23" s="301">
        <f>'VII. Total  BE CH4'!G22</f>
        <v>0</v>
      </c>
      <c r="D23" s="301">
        <f>'VII. Total  BE CH4'!H22</f>
        <v>0</v>
      </c>
    </row>
    <row r="24" spans="2:19" s="3" customFormat="1" ht="13" x14ac:dyDescent="0.3">
      <c r="B24" s="301" t="str">
        <f>'VII. Total  BE CH4'!B23</f>
        <v>Population 6</v>
      </c>
      <c r="C24" s="301">
        <f>'VII. Total  BE CH4'!G23</f>
        <v>0</v>
      </c>
      <c r="D24" s="301">
        <f>'VII. Total  BE CH4'!H23</f>
        <v>0</v>
      </c>
    </row>
    <row r="25" spans="2:19" s="3" customFormat="1" ht="13" x14ac:dyDescent="0.3">
      <c r="B25" s="301" t="str">
        <f>'VII. Total  BE CH4'!B24</f>
        <v>Population 7</v>
      </c>
      <c r="C25" s="301">
        <f>'VII. Total  BE CH4'!G24</f>
        <v>0</v>
      </c>
      <c r="D25" s="301">
        <f>'VII. Total  BE CH4'!H24</f>
        <v>0</v>
      </c>
    </row>
    <row r="26" spans="2:19" s="3" customFormat="1" ht="13" x14ac:dyDescent="0.3">
      <c r="B26" s="301" t="str">
        <f>'VII. Total  BE CH4'!B25</f>
        <v>Population 8</v>
      </c>
      <c r="C26" s="301">
        <f>'VII. Total  BE CH4'!G25</f>
        <v>0</v>
      </c>
      <c r="D26" s="301">
        <f>'VII. Total  BE CH4'!H25</f>
        <v>0</v>
      </c>
    </row>
    <row r="27" spans="2:19" s="3" customFormat="1" ht="13" x14ac:dyDescent="0.3">
      <c r="B27" s="301" t="str">
        <f>'VII. Total  BE CH4'!B26</f>
        <v>Population 9</v>
      </c>
      <c r="C27" s="301">
        <f>'VII. Total  BE CH4'!G26</f>
        <v>0</v>
      </c>
      <c r="D27" s="301">
        <f>'VII. Total  BE CH4'!H26</f>
        <v>0</v>
      </c>
    </row>
    <row r="28" spans="2:19" ht="13" x14ac:dyDescent="0.3">
      <c r="B28" s="437" t="str">
        <f>'VII. Total  BE CH4'!B27</f>
        <v>Population 10</v>
      </c>
      <c r="C28" s="437">
        <f>'VII. Total  BE CH4'!G27</f>
        <v>0</v>
      </c>
      <c r="D28" s="437">
        <f>'VII. Total  BE CH4'!H27</f>
        <v>0</v>
      </c>
      <c r="E28" s="13"/>
      <c r="F28" s="13"/>
      <c r="G28" s="13"/>
      <c r="H28" s="13"/>
      <c r="I28" s="13"/>
      <c r="J28" s="13"/>
      <c r="K28" s="13"/>
      <c r="L28" s="13"/>
      <c r="M28" s="13"/>
      <c r="N28" s="13"/>
      <c r="O28" s="13"/>
      <c r="P28" s="13"/>
      <c r="Q28" s="13"/>
      <c r="R28" s="13"/>
      <c r="S28" s="13"/>
    </row>
    <row r="29" spans="2:19" x14ac:dyDescent="0.25">
      <c r="E29" s="13"/>
      <c r="F29" s="13"/>
      <c r="G29" s="13"/>
      <c r="H29" s="13"/>
      <c r="I29" s="13"/>
      <c r="J29" s="13"/>
      <c r="K29" s="13"/>
      <c r="L29" s="13"/>
      <c r="M29" s="13"/>
      <c r="N29" s="13"/>
      <c r="O29" s="13"/>
      <c r="P29" s="13"/>
      <c r="Q29" s="13"/>
      <c r="R29" s="13"/>
      <c r="S29" s="13"/>
    </row>
    <row r="30" spans="2:19" ht="13" x14ac:dyDescent="0.3">
      <c r="B30" s="58" t="s">
        <v>134</v>
      </c>
      <c r="E30" s="13"/>
      <c r="F30" s="13"/>
      <c r="G30" s="13"/>
      <c r="H30" s="13"/>
      <c r="I30" s="13"/>
      <c r="J30" s="13"/>
      <c r="K30" s="13"/>
      <c r="L30" s="13"/>
      <c r="M30" s="13"/>
      <c r="N30" s="13"/>
      <c r="O30" s="13"/>
      <c r="P30" s="13"/>
      <c r="Q30" s="13"/>
      <c r="R30" s="13"/>
      <c r="S30" s="13"/>
    </row>
    <row r="31" spans="2:19" s="3" customFormat="1" ht="15" x14ac:dyDescent="0.4">
      <c r="B31" s="435" t="s">
        <v>135</v>
      </c>
      <c r="C31" s="435" t="s">
        <v>136</v>
      </c>
      <c r="D31" s="435" t="s">
        <v>137</v>
      </c>
    </row>
    <row r="32" spans="2:19" s="3" customFormat="1" ht="13" x14ac:dyDescent="0.3">
      <c r="B32" s="436" t="str">
        <f>'VII. Total  BE CH4'!B32</f>
        <v>Liquid/Slurry w/natural crust cover</v>
      </c>
      <c r="C32" s="436">
        <f>'VII. Total  BE CH4'!C32</f>
        <v>0</v>
      </c>
      <c r="D32" s="436">
        <f>'VII. Total  BE CH4'!D32</f>
        <v>0</v>
      </c>
    </row>
    <row r="33" spans="2:19" s="3" customFormat="1" ht="13" x14ac:dyDescent="0.3">
      <c r="B33" s="301">
        <f>'VII. Total  BE CH4'!B33</f>
        <v>0</v>
      </c>
      <c r="C33" s="301">
        <f>'VII. Total  BE CH4'!C33</f>
        <v>0</v>
      </c>
      <c r="D33" s="301">
        <f>'VII. Total  BE CH4'!D33</f>
        <v>0</v>
      </c>
    </row>
    <row r="34" spans="2:19" s="3" customFormat="1" ht="13" x14ac:dyDescent="0.3">
      <c r="B34" s="301">
        <f>'VII. Total  BE CH4'!B34</f>
        <v>0</v>
      </c>
      <c r="C34" s="301">
        <f>'VII. Total  BE CH4'!C34</f>
        <v>0</v>
      </c>
      <c r="D34" s="301">
        <f>'VII. Total  BE CH4'!D34</f>
        <v>0</v>
      </c>
    </row>
    <row r="35" spans="2:19" s="3" customFormat="1" ht="13" x14ac:dyDescent="0.3">
      <c r="B35" s="301">
        <f>'VII. Total  BE CH4'!B35</f>
        <v>0</v>
      </c>
      <c r="C35" s="301">
        <f>'VII. Total  BE CH4'!C35</f>
        <v>0</v>
      </c>
      <c r="D35" s="301">
        <f>'VII. Total  BE CH4'!D35</f>
        <v>0</v>
      </c>
    </row>
    <row r="36" spans="2:19" s="3" customFormat="1" ht="13" x14ac:dyDescent="0.3">
      <c r="B36" s="301">
        <f>'VII. Total  BE CH4'!B36</f>
        <v>0</v>
      </c>
      <c r="C36" s="301">
        <f>'VII. Total  BE CH4'!C36</f>
        <v>0</v>
      </c>
      <c r="D36" s="301">
        <f>'VII. Total  BE CH4'!D36</f>
        <v>0</v>
      </c>
    </row>
    <row r="37" spans="2:19" s="3" customFormat="1" ht="13" x14ac:dyDescent="0.3">
      <c r="B37" s="301">
        <f>'VII. Total  BE CH4'!B37</f>
        <v>0</v>
      </c>
      <c r="C37" s="301">
        <f>'VII. Total  BE CH4'!C37</f>
        <v>0</v>
      </c>
      <c r="D37" s="301">
        <f>'VII. Total  BE CH4'!D37</f>
        <v>0</v>
      </c>
    </row>
    <row r="38" spans="2:19" s="3" customFormat="1" ht="13" x14ac:dyDescent="0.3">
      <c r="B38" s="301">
        <f>'VII. Total  BE CH4'!B38</f>
        <v>0</v>
      </c>
      <c r="C38" s="301">
        <f>'VII. Total  BE CH4'!C38</f>
        <v>0</v>
      </c>
      <c r="D38" s="301">
        <f>'VII. Total  BE CH4'!D38</f>
        <v>0</v>
      </c>
    </row>
    <row r="39" spans="2:19" s="3" customFormat="1" ht="13" x14ac:dyDescent="0.3">
      <c r="B39" s="301">
        <f>'VII. Total  BE CH4'!B39</f>
        <v>0</v>
      </c>
      <c r="C39" s="301">
        <f>'VII. Total  BE CH4'!C39</f>
        <v>0</v>
      </c>
      <c r="D39" s="301">
        <f>'VII. Total  BE CH4'!D39</f>
        <v>0</v>
      </c>
    </row>
    <row r="40" spans="2:19" s="3" customFormat="1" ht="13" x14ac:dyDescent="0.3">
      <c r="B40" s="301">
        <f>'VII. Total  BE CH4'!B40</f>
        <v>0</v>
      </c>
      <c r="C40" s="301">
        <f>'VII. Total  BE CH4'!C40</f>
        <v>0</v>
      </c>
      <c r="D40" s="301">
        <f>'VII. Total  BE CH4'!D40</f>
        <v>0</v>
      </c>
    </row>
    <row r="41" spans="2:19" s="3" customFormat="1" ht="13" x14ac:dyDescent="0.3">
      <c r="B41" s="301">
        <f>'VII. Total  BE CH4'!B41</f>
        <v>0</v>
      </c>
      <c r="C41" s="301">
        <f>'VII. Total  BE CH4'!C41</f>
        <v>0</v>
      </c>
      <c r="D41" s="301">
        <f>'VII. Total  BE CH4'!D41</f>
        <v>0</v>
      </c>
    </row>
    <row r="42" spans="2:19" s="3" customFormat="1" ht="13" x14ac:dyDescent="0.3">
      <c r="B42" s="301">
        <f>'VII. Total  BE CH4'!B42</f>
        <v>0</v>
      </c>
      <c r="C42" s="301">
        <f>'VII. Total  BE CH4'!C42</f>
        <v>0</v>
      </c>
      <c r="D42" s="301">
        <f>'VII. Total  BE CH4'!D42</f>
        <v>0</v>
      </c>
    </row>
    <row r="43" spans="2:19" s="3" customFormat="1" ht="13" x14ac:dyDescent="0.3">
      <c r="B43" s="301">
        <f>'VII. Total  BE CH4'!B43</f>
        <v>0</v>
      </c>
      <c r="C43" s="301">
        <f>'VII. Total  BE CH4'!C43</f>
        <v>0</v>
      </c>
      <c r="D43" s="301">
        <f>'VII. Total  BE CH4'!D43</f>
        <v>0</v>
      </c>
    </row>
    <row r="44" spans="2:19" ht="13" x14ac:dyDescent="0.3">
      <c r="B44" s="437">
        <f>'VII. Total  BE CH4'!B44</f>
        <v>0</v>
      </c>
      <c r="C44" s="437">
        <f>'VII. Total  BE CH4'!C44</f>
        <v>0</v>
      </c>
      <c r="D44" s="437">
        <f>'VII. Total  BE CH4'!D44</f>
        <v>0</v>
      </c>
      <c r="E44" s="13"/>
      <c r="F44" s="13"/>
      <c r="G44" s="13"/>
      <c r="H44" s="13"/>
      <c r="I44" s="13"/>
      <c r="J44" s="13"/>
      <c r="K44" s="13"/>
      <c r="L44" s="13"/>
      <c r="M44" s="13"/>
      <c r="N44" s="13"/>
      <c r="O44" s="13"/>
      <c r="P44" s="13"/>
      <c r="Q44" s="13"/>
      <c r="R44" s="13"/>
      <c r="S44" s="13"/>
    </row>
    <row r="45" spans="2:19" x14ac:dyDescent="0.25">
      <c r="E45" s="13"/>
      <c r="F45" s="13"/>
      <c r="G45" s="13"/>
      <c r="H45" s="13"/>
      <c r="I45" s="13"/>
      <c r="J45" s="13"/>
      <c r="K45" s="13"/>
      <c r="L45" s="13"/>
      <c r="M45" s="13"/>
      <c r="N45" s="13"/>
      <c r="O45" s="13"/>
      <c r="P45" s="13"/>
      <c r="Q45" s="13"/>
      <c r="R45" s="13"/>
      <c r="S45" s="13"/>
    </row>
    <row r="46" spans="2:19" s="3" customFormat="1" ht="13" x14ac:dyDescent="0.3">
      <c r="B46" s="72" t="s">
        <v>138</v>
      </c>
      <c r="C46" s="41"/>
      <c r="D46" s="41"/>
      <c r="E46" s="74"/>
    </row>
    <row r="47" spans="2:19" s="3" customFormat="1" ht="16" x14ac:dyDescent="0.4">
      <c r="B47" s="75" t="s">
        <v>139</v>
      </c>
      <c r="C47" s="302">
        <f>'VII. Total  BE CH4'!C48</f>
        <v>0</v>
      </c>
      <c r="D47" s="76" t="s">
        <v>140</v>
      </c>
    </row>
    <row r="48" spans="2:19" s="3" customFormat="1" ht="16" x14ac:dyDescent="0.4">
      <c r="B48" s="75" t="s">
        <v>141</v>
      </c>
      <c r="C48" s="303">
        <f>'VII. Total  BE CH4'!C49</f>
        <v>0</v>
      </c>
      <c r="D48" s="58" t="s">
        <v>142</v>
      </c>
    </row>
    <row r="49" spans="2:19" ht="13" x14ac:dyDescent="0.3">
      <c r="B49" s="72"/>
      <c r="C49" s="58"/>
      <c r="D49" s="58"/>
      <c r="E49" s="3"/>
      <c r="F49" s="13"/>
      <c r="G49" s="13"/>
      <c r="H49" s="13"/>
      <c r="I49" s="13"/>
      <c r="J49" s="13"/>
      <c r="K49" s="13"/>
      <c r="L49" s="13"/>
      <c r="M49" s="13"/>
      <c r="N49" s="13"/>
      <c r="O49" s="13"/>
      <c r="P49" s="13"/>
      <c r="Q49" s="13"/>
      <c r="R49" s="13"/>
      <c r="S49" s="13"/>
    </row>
    <row r="50" spans="2:19" s="3" customFormat="1" ht="15" x14ac:dyDescent="0.4">
      <c r="B50" s="58" t="s">
        <v>143</v>
      </c>
      <c r="C50" s="41"/>
      <c r="D50" s="41"/>
    </row>
    <row r="51" spans="2:19" ht="16" x14ac:dyDescent="0.4">
      <c r="B51" s="72"/>
      <c r="C51" s="303">
        <f>'XIII. CO2'!F46</f>
        <v>0</v>
      </c>
      <c r="D51" s="58" t="s">
        <v>144</v>
      </c>
      <c r="E51" s="13"/>
      <c r="F51" s="13"/>
      <c r="G51" s="13"/>
      <c r="H51" s="13"/>
      <c r="I51" s="13"/>
      <c r="J51" s="13"/>
      <c r="K51" s="13"/>
      <c r="L51" s="13"/>
      <c r="M51" s="13"/>
      <c r="N51" s="13"/>
      <c r="O51" s="13"/>
      <c r="P51" s="13"/>
      <c r="Q51" s="13"/>
      <c r="R51" s="13"/>
      <c r="S51" s="13"/>
    </row>
    <row r="52" spans="2:19" ht="15.5" x14ac:dyDescent="0.35">
      <c r="B52" s="67" t="s">
        <v>145</v>
      </c>
      <c r="E52" s="13"/>
      <c r="F52" s="13"/>
      <c r="G52" s="13"/>
      <c r="H52" s="13"/>
      <c r="I52" s="13"/>
      <c r="J52" s="13"/>
      <c r="K52" s="13"/>
      <c r="L52" s="13"/>
      <c r="M52" s="13"/>
      <c r="N52" s="13"/>
      <c r="O52" s="13"/>
      <c r="P52" s="13"/>
      <c r="Q52" s="13"/>
      <c r="R52" s="13"/>
      <c r="S52" s="13"/>
    </row>
    <row r="53" spans="2:19" x14ac:dyDescent="0.25">
      <c r="E53" s="13"/>
      <c r="F53" s="13"/>
      <c r="G53" s="13"/>
      <c r="H53" s="13"/>
      <c r="I53" s="13"/>
      <c r="J53" s="13"/>
      <c r="K53" s="13"/>
      <c r="L53" s="13"/>
      <c r="M53" s="13"/>
      <c r="N53" s="13"/>
      <c r="O53" s="13"/>
      <c r="P53" s="13"/>
      <c r="Q53" s="13"/>
      <c r="R53" s="13"/>
      <c r="S53" s="13"/>
    </row>
    <row r="54" spans="2:19" ht="13" x14ac:dyDescent="0.3">
      <c r="B54" s="58" t="s">
        <v>146</v>
      </c>
      <c r="E54" s="13"/>
      <c r="F54" s="13"/>
      <c r="G54" s="13"/>
      <c r="H54" s="13"/>
      <c r="I54" s="13"/>
      <c r="J54" s="13"/>
      <c r="K54" s="13"/>
      <c r="L54" s="13"/>
      <c r="M54" s="13"/>
      <c r="N54" s="13"/>
      <c r="O54" s="13"/>
      <c r="P54" s="13"/>
      <c r="Q54" s="13"/>
      <c r="R54" s="13"/>
      <c r="S54" s="13"/>
    </row>
    <row r="55" spans="2:19" ht="16" x14ac:dyDescent="0.4">
      <c r="B55" s="77" t="s">
        <v>147</v>
      </c>
      <c r="C55" s="304">
        <f>'XII. Total PE CH4'!C16</f>
        <v>0</v>
      </c>
      <c r="D55" s="76" t="s">
        <v>140</v>
      </c>
      <c r="E55" s="13"/>
      <c r="F55" s="13"/>
      <c r="G55" s="13"/>
      <c r="H55" s="13"/>
      <c r="I55" s="13"/>
      <c r="J55" s="13"/>
      <c r="K55" s="13"/>
      <c r="L55" s="13"/>
      <c r="M55" s="13"/>
      <c r="N55" s="13"/>
      <c r="O55" s="13"/>
      <c r="P55" s="13"/>
      <c r="Q55" s="13"/>
      <c r="R55" s="13"/>
      <c r="S55" s="13"/>
    </row>
    <row r="56" spans="2:19" ht="16" x14ac:dyDescent="0.4">
      <c r="B56" s="78" t="s">
        <v>148</v>
      </c>
      <c r="C56" s="304">
        <f>'VIII. PE CH4(BCS)'!K28</f>
        <v>0</v>
      </c>
      <c r="D56" s="58" t="s">
        <v>142</v>
      </c>
      <c r="E56" s="13"/>
      <c r="F56" s="13"/>
      <c r="G56" s="13"/>
      <c r="H56" s="13"/>
      <c r="I56" s="13"/>
      <c r="J56" s="13"/>
      <c r="K56" s="13"/>
      <c r="L56" s="13"/>
      <c r="M56" s="13"/>
      <c r="N56" s="13"/>
      <c r="O56" s="13"/>
      <c r="P56" s="13"/>
      <c r="Q56" s="13"/>
      <c r="R56" s="13"/>
      <c r="S56" s="13"/>
    </row>
    <row r="57" spans="2:19" ht="13" x14ac:dyDescent="0.25">
      <c r="B57" s="79"/>
      <c r="E57" s="13"/>
      <c r="F57" s="13"/>
      <c r="G57" s="13"/>
      <c r="H57" s="13"/>
      <c r="I57" s="13"/>
      <c r="J57" s="13"/>
      <c r="K57" s="13"/>
      <c r="L57" s="13"/>
      <c r="M57" s="13"/>
      <c r="N57" s="13"/>
      <c r="O57" s="13"/>
      <c r="P57" s="13"/>
      <c r="Q57" s="13"/>
      <c r="R57" s="13"/>
      <c r="S57" s="13"/>
    </row>
    <row r="58" spans="2:19" ht="13" x14ac:dyDescent="0.25">
      <c r="B58" s="79" t="s">
        <v>149</v>
      </c>
      <c r="E58" s="13"/>
      <c r="F58" s="13"/>
      <c r="G58" s="13"/>
      <c r="H58" s="13"/>
      <c r="I58" s="13"/>
      <c r="J58" s="13"/>
      <c r="K58" s="13"/>
      <c r="L58" s="13"/>
      <c r="M58" s="13"/>
      <c r="N58" s="13"/>
      <c r="O58" s="13"/>
      <c r="P58" s="13"/>
      <c r="Q58" s="13"/>
      <c r="R58" s="13"/>
      <c r="S58" s="13"/>
    </row>
    <row r="59" spans="2:19" ht="16" x14ac:dyDescent="0.4">
      <c r="B59" s="80" t="s">
        <v>150</v>
      </c>
      <c r="C59" s="303">
        <f>'IX. PE CH4(V)'!H29</f>
        <v>0</v>
      </c>
      <c r="D59" s="76" t="s">
        <v>140</v>
      </c>
      <c r="E59" s="13"/>
      <c r="F59" s="13"/>
      <c r="G59" s="13"/>
      <c r="H59" s="13"/>
      <c r="I59" s="13"/>
      <c r="J59" s="13"/>
      <c r="K59" s="13"/>
      <c r="L59" s="13"/>
      <c r="M59" s="13"/>
      <c r="N59" s="13"/>
      <c r="O59" s="13"/>
      <c r="P59" s="13"/>
      <c r="Q59" s="13"/>
      <c r="R59" s="13"/>
      <c r="S59" s="13"/>
    </row>
    <row r="60" spans="2:19" ht="16" x14ac:dyDescent="0.4">
      <c r="B60" s="80" t="s">
        <v>151</v>
      </c>
      <c r="C60" s="303">
        <f>'IX. PE CH4(V)'!I29</f>
        <v>0</v>
      </c>
      <c r="D60" s="58" t="s">
        <v>142</v>
      </c>
      <c r="E60" s="13"/>
      <c r="F60" s="13"/>
      <c r="G60" s="13"/>
      <c r="H60" s="13"/>
      <c r="I60" s="13"/>
      <c r="J60" s="13"/>
      <c r="K60" s="13"/>
      <c r="L60" s="13"/>
      <c r="M60" s="13"/>
      <c r="N60" s="13"/>
      <c r="O60" s="13"/>
      <c r="P60" s="13"/>
      <c r="Q60" s="13"/>
      <c r="R60" s="13"/>
      <c r="S60" s="13"/>
    </row>
    <row r="61" spans="2:19" ht="13" x14ac:dyDescent="0.25">
      <c r="B61" s="79"/>
      <c r="E61" s="13"/>
      <c r="F61" s="13"/>
      <c r="G61" s="13"/>
      <c r="H61" s="13"/>
      <c r="I61" s="13"/>
      <c r="J61" s="13"/>
      <c r="K61" s="13"/>
      <c r="L61" s="13"/>
      <c r="M61" s="13"/>
      <c r="N61" s="13"/>
      <c r="O61" s="13"/>
      <c r="P61" s="13"/>
      <c r="Q61" s="13"/>
      <c r="R61" s="13"/>
      <c r="S61" s="13"/>
    </row>
    <row r="62" spans="2:19" ht="13" x14ac:dyDescent="0.3">
      <c r="B62" s="58" t="s">
        <v>152</v>
      </c>
      <c r="E62" s="13"/>
      <c r="F62" s="13"/>
      <c r="G62" s="13"/>
      <c r="H62" s="13"/>
      <c r="I62" s="13"/>
      <c r="J62" s="13"/>
      <c r="K62" s="13"/>
      <c r="L62" s="13"/>
      <c r="M62" s="13"/>
      <c r="N62" s="13"/>
      <c r="O62" s="13"/>
      <c r="P62" s="13"/>
      <c r="Q62" s="13"/>
      <c r="R62" s="13"/>
      <c r="S62" s="13"/>
    </row>
    <row r="63" spans="2:19" ht="16" x14ac:dyDescent="0.4">
      <c r="B63" s="75" t="s">
        <v>153</v>
      </c>
      <c r="C63" s="303">
        <f>'X. PE CH4(ET)'!C64</f>
        <v>0</v>
      </c>
      <c r="D63" s="76" t="s">
        <v>140</v>
      </c>
      <c r="E63" s="13"/>
      <c r="F63" s="13"/>
      <c r="G63" s="13"/>
      <c r="H63" s="13"/>
      <c r="I63" s="13"/>
      <c r="J63" s="13"/>
      <c r="K63" s="13"/>
      <c r="L63" s="13"/>
      <c r="M63" s="13"/>
      <c r="N63" s="13"/>
      <c r="O63" s="13"/>
      <c r="P63" s="13"/>
      <c r="Q63" s="13"/>
      <c r="R63" s="13"/>
      <c r="S63" s="13"/>
    </row>
    <row r="64" spans="2:19" ht="16" x14ac:dyDescent="0.4">
      <c r="B64" s="78" t="s">
        <v>154</v>
      </c>
      <c r="C64" s="303">
        <f>C63*gwp_ch4</f>
        <v>0</v>
      </c>
      <c r="D64" s="58" t="s">
        <v>142</v>
      </c>
      <c r="E64" s="13"/>
      <c r="F64" s="13"/>
      <c r="G64" s="13"/>
      <c r="H64" s="13"/>
      <c r="I64" s="13"/>
      <c r="J64" s="13"/>
      <c r="K64" s="13"/>
      <c r="L64" s="13"/>
      <c r="M64" s="13"/>
      <c r="N64" s="13"/>
      <c r="O64" s="13"/>
      <c r="P64" s="13"/>
      <c r="Q64" s="13"/>
      <c r="R64" s="13"/>
      <c r="S64" s="13"/>
    </row>
    <row r="65" spans="1:19" s="81" customFormat="1" ht="13" x14ac:dyDescent="0.25">
      <c r="A65" s="13"/>
      <c r="B65" s="79"/>
      <c r="C65" s="41"/>
      <c r="D65" s="41"/>
    </row>
    <row r="66" spans="1:19" ht="16.5" customHeight="1" x14ac:dyDescent="0.3">
      <c r="A66" s="81"/>
      <c r="B66" s="58" t="s">
        <v>155</v>
      </c>
      <c r="C66" s="82"/>
      <c r="D66" s="82"/>
      <c r="E66" s="13"/>
      <c r="F66" s="13"/>
      <c r="G66" s="13"/>
      <c r="H66" s="13"/>
      <c r="I66" s="13"/>
      <c r="J66" s="13"/>
      <c r="K66" s="13"/>
      <c r="L66" s="13"/>
      <c r="M66" s="13"/>
      <c r="N66" s="13"/>
      <c r="O66" s="13"/>
      <c r="P66" s="13"/>
      <c r="Q66" s="13"/>
      <c r="R66" s="13"/>
      <c r="S66" s="13"/>
    </row>
    <row r="67" spans="1:19" ht="16" x14ac:dyDescent="0.4">
      <c r="B67" s="75" t="s">
        <v>156</v>
      </c>
      <c r="C67" s="303">
        <f>'XII. Total PE CH4'!C31</f>
        <v>0</v>
      </c>
      <c r="D67" s="76" t="s">
        <v>140</v>
      </c>
      <c r="E67" s="13"/>
      <c r="F67" s="13"/>
      <c r="G67" s="13"/>
      <c r="H67" s="13"/>
      <c r="I67" s="13"/>
      <c r="J67" s="13"/>
      <c r="K67" s="13"/>
      <c r="L67" s="13"/>
      <c r="M67" s="13"/>
      <c r="N67" s="13"/>
      <c r="O67" s="13"/>
      <c r="P67" s="13"/>
      <c r="Q67" s="13"/>
      <c r="R67" s="13"/>
      <c r="S67" s="13"/>
    </row>
    <row r="68" spans="1:19" ht="16" x14ac:dyDescent="0.4">
      <c r="B68" s="78" t="s">
        <v>157</v>
      </c>
      <c r="C68" s="303">
        <f>'XI. PE CH4(nBCS)'!G230</f>
        <v>0</v>
      </c>
      <c r="D68" s="58" t="s">
        <v>142</v>
      </c>
      <c r="E68" s="13"/>
      <c r="F68" s="13"/>
      <c r="G68" s="13"/>
      <c r="H68" s="13"/>
      <c r="I68" s="13"/>
      <c r="J68" s="13"/>
      <c r="K68" s="13"/>
      <c r="L68" s="13"/>
      <c r="M68" s="13"/>
      <c r="N68" s="13"/>
      <c r="O68" s="13"/>
      <c r="P68" s="13"/>
      <c r="Q68" s="13"/>
      <c r="R68" s="13"/>
      <c r="S68" s="13"/>
    </row>
    <row r="69" spans="1:19" ht="13" x14ac:dyDescent="0.25">
      <c r="B69" s="79"/>
      <c r="E69" s="13"/>
      <c r="F69" s="13"/>
      <c r="G69" s="13"/>
      <c r="H69" s="13"/>
      <c r="I69" s="13"/>
      <c r="J69" s="13"/>
      <c r="K69" s="13"/>
      <c r="L69" s="13"/>
      <c r="M69" s="13"/>
      <c r="N69" s="13"/>
      <c r="O69" s="13"/>
      <c r="P69" s="13"/>
      <c r="Q69" s="13"/>
      <c r="R69" s="13"/>
      <c r="S69" s="13"/>
    </row>
    <row r="70" spans="1:19" ht="13" x14ac:dyDescent="0.3">
      <c r="B70" s="72" t="s">
        <v>158</v>
      </c>
      <c r="E70" s="13"/>
      <c r="F70" s="13"/>
      <c r="G70" s="13"/>
      <c r="H70" s="13"/>
      <c r="I70" s="13"/>
      <c r="J70" s="13"/>
      <c r="K70" s="13"/>
      <c r="L70" s="13"/>
      <c r="M70" s="13"/>
      <c r="N70" s="13"/>
      <c r="O70" s="13"/>
      <c r="P70" s="13"/>
      <c r="Q70" s="13"/>
      <c r="R70" s="13"/>
      <c r="S70" s="13"/>
    </row>
    <row r="71" spans="1:19" ht="16" x14ac:dyDescent="0.4">
      <c r="B71" s="75" t="s">
        <v>159</v>
      </c>
      <c r="C71" s="305">
        <f>'XII. Total PE CH4'!C37</f>
        <v>0</v>
      </c>
      <c r="D71" s="76" t="s">
        <v>140</v>
      </c>
      <c r="E71" s="13"/>
      <c r="F71" s="13"/>
      <c r="G71" s="13"/>
      <c r="H71" s="13"/>
      <c r="I71" s="13"/>
      <c r="J71" s="13"/>
      <c r="K71" s="13"/>
      <c r="L71" s="13"/>
      <c r="M71" s="13"/>
      <c r="N71" s="13"/>
      <c r="O71" s="13"/>
      <c r="P71" s="13"/>
      <c r="Q71" s="13"/>
      <c r="R71" s="13"/>
      <c r="S71" s="13"/>
    </row>
    <row r="72" spans="1:19" ht="16" x14ac:dyDescent="0.4">
      <c r="B72" s="75" t="s">
        <v>160</v>
      </c>
      <c r="C72" s="304">
        <f>'XII. Total PE CH4'!C38</f>
        <v>0</v>
      </c>
      <c r="D72" s="58" t="s">
        <v>142</v>
      </c>
      <c r="E72" s="13"/>
      <c r="F72" s="13"/>
      <c r="G72" s="13"/>
      <c r="H72" s="13"/>
      <c r="I72" s="13"/>
      <c r="J72" s="13"/>
      <c r="K72" s="13"/>
      <c r="L72" s="13"/>
      <c r="M72" s="13"/>
      <c r="N72" s="13"/>
      <c r="O72" s="13"/>
      <c r="P72" s="13"/>
      <c r="Q72" s="13"/>
      <c r="R72" s="13"/>
      <c r="S72" s="13"/>
    </row>
    <row r="73" spans="1:19" ht="13" x14ac:dyDescent="0.3">
      <c r="B73" s="79"/>
      <c r="E73" s="3"/>
      <c r="F73" s="13"/>
      <c r="G73" s="13"/>
      <c r="H73" s="13"/>
      <c r="I73" s="13"/>
      <c r="J73" s="13"/>
      <c r="K73" s="13"/>
      <c r="L73" s="13"/>
      <c r="M73" s="13"/>
      <c r="N73" s="13"/>
      <c r="O73" s="13"/>
      <c r="P73" s="13"/>
      <c r="Q73" s="13"/>
      <c r="R73" s="13"/>
      <c r="S73" s="13"/>
    </row>
    <row r="74" spans="1:19" ht="15" x14ac:dyDescent="0.4">
      <c r="B74" s="58" t="s">
        <v>161</v>
      </c>
      <c r="E74" s="13"/>
      <c r="F74" s="83"/>
      <c r="G74" s="13"/>
      <c r="H74" s="13"/>
      <c r="I74" s="13"/>
      <c r="J74" s="13"/>
      <c r="K74" s="13"/>
      <c r="L74" s="13"/>
      <c r="M74" s="13"/>
      <c r="N74" s="13"/>
      <c r="O74" s="13"/>
      <c r="P74" s="13"/>
      <c r="Q74" s="13"/>
      <c r="R74" s="13"/>
      <c r="S74" s="13"/>
    </row>
    <row r="75" spans="1:19" ht="13" x14ac:dyDescent="0.3">
      <c r="C75" s="303">
        <f>'XIII. CO2'!F82</f>
        <v>0</v>
      </c>
      <c r="E75" s="13"/>
      <c r="F75" s="13"/>
      <c r="G75" s="13"/>
      <c r="H75" s="13"/>
      <c r="I75" s="13"/>
      <c r="J75" s="13"/>
      <c r="K75" s="13"/>
      <c r="L75" s="13"/>
      <c r="M75" s="13"/>
      <c r="N75" s="13"/>
      <c r="O75" s="13"/>
      <c r="P75" s="13"/>
      <c r="Q75" s="13"/>
      <c r="R75" s="13"/>
      <c r="S75" s="13"/>
    </row>
    <row r="76" spans="1:19" ht="13" x14ac:dyDescent="0.3">
      <c r="C76" s="58"/>
      <c r="E76" s="13"/>
      <c r="F76" s="13"/>
      <c r="G76" s="13"/>
      <c r="H76" s="13"/>
      <c r="I76" s="13"/>
      <c r="J76" s="13"/>
      <c r="K76" s="13"/>
      <c r="L76" s="13"/>
      <c r="M76" s="13"/>
      <c r="N76" s="13"/>
      <c r="O76" s="13"/>
      <c r="P76" s="13"/>
      <c r="Q76" s="13"/>
      <c r="R76" s="13"/>
      <c r="S76" s="13"/>
    </row>
    <row r="77" spans="1:19" ht="13" x14ac:dyDescent="0.3">
      <c r="C77" s="58"/>
      <c r="E77" s="13"/>
      <c r="F77" s="13"/>
      <c r="G77" s="13"/>
      <c r="H77" s="13"/>
      <c r="I77" s="13"/>
      <c r="J77" s="13"/>
      <c r="K77" s="13"/>
      <c r="L77" s="13"/>
      <c r="M77" s="13"/>
      <c r="N77" s="13"/>
      <c r="O77" s="13"/>
      <c r="P77" s="13"/>
      <c r="Q77" s="13"/>
      <c r="R77" s="13"/>
      <c r="S77" s="13"/>
    </row>
    <row r="78" spans="1:19" ht="17.5" x14ac:dyDescent="0.45">
      <c r="B78" s="86" t="s">
        <v>162</v>
      </c>
      <c r="C78" s="87"/>
      <c r="D78" s="87"/>
      <c r="E78" s="13"/>
      <c r="F78" s="13"/>
      <c r="G78" s="13"/>
      <c r="H78" s="13"/>
      <c r="I78" s="13"/>
      <c r="J78" s="13"/>
      <c r="K78" s="13"/>
      <c r="L78" s="13"/>
      <c r="M78" s="13"/>
      <c r="N78" s="13"/>
      <c r="O78" s="13"/>
      <c r="P78" s="13"/>
      <c r="Q78" s="13"/>
      <c r="R78" s="13"/>
      <c r="S78" s="13"/>
    </row>
    <row r="79" spans="1:19" ht="13" x14ac:dyDescent="0.3">
      <c r="B79" s="58"/>
      <c r="C79" s="13"/>
      <c r="D79" s="13"/>
      <c r="E79" s="13"/>
      <c r="F79" s="13"/>
      <c r="G79" s="13"/>
      <c r="H79" s="13"/>
      <c r="I79" s="13"/>
      <c r="J79" s="13"/>
      <c r="K79" s="13"/>
      <c r="L79" s="13"/>
      <c r="M79" s="13"/>
      <c r="N79" s="13"/>
      <c r="O79" s="13"/>
      <c r="P79" s="13"/>
      <c r="Q79" s="13"/>
      <c r="R79" s="13"/>
      <c r="S79" s="13"/>
    </row>
    <row r="80" spans="1:19" ht="16" x14ac:dyDescent="0.4">
      <c r="B80" s="75" t="s">
        <v>163</v>
      </c>
      <c r="C80" s="84">
        <f>MAX(C75-C51, 0)</f>
        <v>0</v>
      </c>
      <c r="D80" s="58" t="s">
        <v>142</v>
      </c>
      <c r="E80" s="13"/>
      <c r="F80" s="13"/>
      <c r="G80" s="13"/>
      <c r="H80" s="13"/>
      <c r="I80" s="13"/>
      <c r="J80" s="13"/>
      <c r="K80" s="13"/>
      <c r="L80" s="13"/>
      <c r="M80" s="13"/>
      <c r="N80" s="13"/>
      <c r="O80" s="13"/>
      <c r="P80" s="13"/>
      <c r="Q80" s="13"/>
      <c r="R80" s="13"/>
      <c r="S80" s="13"/>
    </row>
    <row r="81" spans="2:19" ht="13" x14ac:dyDescent="0.3">
      <c r="B81" s="58"/>
      <c r="C81" s="85"/>
      <c r="D81" s="72"/>
      <c r="E81" s="13"/>
      <c r="F81" s="13"/>
      <c r="G81" s="13"/>
      <c r="H81" s="13"/>
      <c r="I81" s="13"/>
      <c r="J81" s="13"/>
      <c r="K81" s="13"/>
      <c r="L81" s="13"/>
      <c r="M81" s="13"/>
      <c r="N81" s="13"/>
      <c r="O81" s="13"/>
      <c r="P81" s="13"/>
      <c r="Q81" s="13"/>
      <c r="R81" s="13"/>
      <c r="S81" s="13"/>
    </row>
    <row r="82" spans="2:19" x14ac:dyDescent="0.25">
      <c r="E82" s="13"/>
      <c r="F82" s="13"/>
      <c r="G82" s="13"/>
      <c r="H82" s="13"/>
      <c r="I82" s="13"/>
      <c r="J82" s="13"/>
      <c r="K82" s="13"/>
      <c r="L82" s="13"/>
      <c r="M82" s="13"/>
      <c r="N82" s="13"/>
      <c r="O82" s="13"/>
      <c r="P82" s="13"/>
      <c r="Q82" s="13"/>
      <c r="R82" s="13"/>
      <c r="S82" s="13"/>
    </row>
    <row r="83" spans="2:19" ht="17.5" x14ac:dyDescent="0.45">
      <c r="B83" s="86" t="s">
        <v>164</v>
      </c>
      <c r="E83" s="13"/>
      <c r="F83" s="13"/>
      <c r="G83" s="13"/>
      <c r="H83" s="13"/>
      <c r="I83" s="13"/>
      <c r="J83" s="13"/>
      <c r="K83" s="13"/>
      <c r="L83" s="13"/>
      <c r="M83" s="13"/>
      <c r="N83" s="13"/>
      <c r="O83" s="13"/>
      <c r="P83" s="13"/>
      <c r="Q83" s="13"/>
      <c r="R83" s="13"/>
      <c r="S83" s="13"/>
    </row>
    <row r="84" spans="2:19" ht="20.25" customHeight="1" x14ac:dyDescent="0.3">
      <c r="B84" s="58"/>
      <c r="E84" s="13"/>
      <c r="F84" s="13"/>
      <c r="G84" s="13"/>
      <c r="H84" s="13"/>
      <c r="I84" s="13"/>
      <c r="J84" s="13"/>
      <c r="K84" s="13"/>
      <c r="L84" s="13"/>
      <c r="M84" s="13"/>
      <c r="N84" s="13"/>
      <c r="O84" s="13"/>
      <c r="P84" s="13"/>
      <c r="Q84" s="13"/>
      <c r="R84" s="13"/>
      <c r="S84" s="13"/>
    </row>
    <row r="85" spans="2:19" ht="20.149999999999999" customHeight="1" x14ac:dyDescent="0.25">
      <c r="B85" s="361" t="s">
        <v>165</v>
      </c>
      <c r="C85" s="362">
        <f>C48-C72-C80</f>
        <v>0</v>
      </c>
      <c r="E85" s="13"/>
      <c r="F85" s="13"/>
      <c r="G85" s="13"/>
      <c r="H85" s="13"/>
      <c r="I85" s="13"/>
      <c r="J85" s="13"/>
      <c r="K85" s="13"/>
      <c r="L85" s="13"/>
      <c r="M85" s="13"/>
      <c r="N85" s="13"/>
      <c r="O85" s="13"/>
      <c r="P85" s="13"/>
      <c r="Q85" s="13"/>
      <c r="R85" s="13"/>
      <c r="S85" s="13"/>
    </row>
    <row r="86" spans="2:19" ht="20.149999999999999" customHeight="1" x14ac:dyDescent="0.25">
      <c r="B86" s="361" t="s">
        <v>166</v>
      </c>
      <c r="C86" s="362">
        <f>'VIII. PE CH4(BCS)'!M28-C80</f>
        <v>0</v>
      </c>
      <c r="E86" s="13"/>
      <c r="F86" s="13"/>
      <c r="G86" s="13"/>
      <c r="H86" s="13"/>
      <c r="I86" s="13"/>
      <c r="J86" s="13"/>
      <c r="K86" s="13"/>
      <c r="L86" s="13"/>
      <c r="M86" s="13"/>
      <c r="N86" s="13"/>
      <c r="O86" s="13"/>
      <c r="P86" s="13"/>
      <c r="Q86" s="13"/>
      <c r="R86" s="13"/>
      <c r="S86" s="13"/>
    </row>
    <row r="87" spans="2:19" ht="20.149999999999999" customHeight="1" x14ac:dyDescent="0.4">
      <c r="B87" s="440" t="s">
        <v>167</v>
      </c>
      <c r="C87" s="441">
        <f>IFERROR(MIN(C85,C86),"")</f>
        <v>0</v>
      </c>
      <c r="D87" s="72" t="s">
        <v>168</v>
      </c>
      <c r="E87" s="13"/>
      <c r="F87" s="13"/>
      <c r="G87" s="13"/>
      <c r="H87" s="13"/>
      <c r="I87" s="13"/>
      <c r="J87" s="13"/>
      <c r="K87" s="13"/>
      <c r="L87" s="13"/>
      <c r="M87" s="13"/>
      <c r="N87" s="13"/>
      <c r="O87" s="13"/>
      <c r="P87" s="13"/>
      <c r="Q87" s="13"/>
      <c r="R87" s="13"/>
      <c r="S87" s="13"/>
    </row>
    <row r="88" spans="2:19" ht="13" x14ac:dyDescent="0.3">
      <c r="B88" s="536" t="s">
        <v>169</v>
      </c>
      <c r="E88" s="13"/>
      <c r="F88" s="13"/>
      <c r="G88" s="13"/>
      <c r="H88" s="13"/>
      <c r="I88" s="13"/>
      <c r="J88" s="13"/>
      <c r="K88" s="13"/>
      <c r="L88" s="13"/>
      <c r="M88" s="13"/>
      <c r="N88" s="13"/>
      <c r="O88" s="13"/>
      <c r="P88" s="13"/>
      <c r="Q88" s="13"/>
      <c r="R88" s="13"/>
      <c r="S88" s="13"/>
    </row>
    <row r="89" spans="2:19" x14ac:dyDescent="0.25">
      <c r="E89" s="13"/>
      <c r="F89" s="13"/>
      <c r="G89" s="13"/>
      <c r="H89" s="13"/>
      <c r="I89" s="13"/>
      <c r="J89" s="13"/>
      <c r="K89" s="13"/>
      <c r="L89" s="13"/>
      <c r="M89" s="13"/>
      <c r="N89" s="13"/>
      <c r="O89" s="13"/>
      <c r="P89" s="13"/>
      <c r="Q89" s="13"/>
      <c r="R89" s="13"/>
      <c r="S89" s="13"/>
    </row>
    <row r="90" spans="2:19" x14ac:dyDescent="0.25">
      <c r="E90" s="13"/>
      <c r="F90" s="13"/>
      <c r="G90" s="13"/>
      <c r="H90" s="13"/>
      <c r="I90" s="13"/>
      <c r="J90" s="13"/>
      <c r="K90" s="13"/>
      <c r="L90" s="13"/>
      <c r="M90" s="13"/>
      <c r="N90" s="13"/>
      <c r="O90" s="13"/>
      <c r="P90" s="13"/>
      <c r="Q90" s="13"/>
      <c r="R90" s="13"/>
      <c r="S90" s="13"/>
    </row>
    <row r="91" spans="2:19" x14ac:dyDescent="0.25">
      <c r="B91" s="549" t="s">
        <v>170</v>
      </c>
      <c r="C91" s="549"/>
      <c r="D91" s="549"/>
      <c r="E91" s="13"/>
      <c r="F91" s="13"/>
      <c r="G91" s="13"/>
      <c r="H91" s="13"/>
      <c r="I91" s="13"/>
      <c r="J91" s="13"/>
      <c r="K91" s="13"/>
      <c r="L91" s="13"/>
      <c r="M91" s="13"/>
      <c r="N91" s="13"/>
      <c r="O91" s="13"/>
      <c r="P91" s="13"/>
      <c r="Q91" s="13"/>
      <c r="R91" s="13"/>
      <c r="S91" s="13"/>
    </row>
    <row r="92" spans="2:19" x14ac:dyDescent="0.25">
      <c r="B92" s="549"/>
      <c r="C92" s="549"/>
      <c r="D92" s="549"/>
      <c r="E92" s="13"/>
      <c r="F92" s="13"/>
      <c r="G92" s="13"/>
      <c r="H92" s="13"/>
      <c r="I92" s="13"/>
      <c r="J92" s="13"/>
      <c r="K92" s="13"/>
      <c r="L92" s="13"/>
      <c r="M92" s="13"/>
      <c r="N92" s="13"/>
      <c r="O92" s="13"/>
      <c r="P92" s="13"/>
      <c r="Q92" s="13"/>
      <c r="R92" s="13"/>
      <c r="S92" s="13"/>
    </row>
    <row r="93" spans="2:19" x14ac:dyDescent="0.25">
      <c r="B93" s="549"/>
      <c r="C93" s="549"/>
      <c r="D93" s="549"/>
      <c r="E93" s="13"/>
      <c r="F93" s="13"/>
      <c r="G93" s="13"/>
      <c r="H93" s="13"/>
      <c r="I93" s="13"/>
      <c r="J93" s="13"/>
      <c r="K93" s="13"/>
      <c r="L93" s="13"/>
      <c r="M93" s="13"/>
      <c r="N93" s="13"/>
      <c r="O93" s="13"/>
      <c r="P93" s="13"/>
      <c r="Q93" s="13"/>
      <c r="R93" s="13"/>
      <c r="S93" s="13"/>
    </row>
    <row r="94" spans="2:19" x14ac:dyDescent="0.25">
      <c r="B94" s="549"/>
      <c r="C94" s="549"/>
      <c r="D94" s="549"/>
      <c r="E94" s="13"/>
      <c r="F94" s="13"/>
      <c r="G94" s="13"/>
      <c r="H94" s="13"/>
      <c r="I94" s="13"/>
      <c r="J94" s="13"/>
      <c r="K94" s="13"/>
      <c r="L94" s="13"/>
      <c r="M94" s="13"/>
      <c r="N94" s="13"/>
      <c r="O94" s="13"/>
      <c r="P94" s="13"/>
      <c r="Q94" s="13"/>
      <c r="R94" s="13"/>
      <c r="S94" s="13"/>
    </row>
    <row r="95" spans="2:19" x14ac:dyDescent="0.25">
      <c r="B95" s="549"/>
      <c r="C95" s="549"/>
      <c r="D95" s="549"/>
      <c r="E95" s="13"/>
      <c r="F95" s="13"/>
      <c r="G95" s="13"/>
      <c r="H95" s="13"/>
      <c r="I95" s="13"/>
      <c r="J95" s="13"/>
      <c r="K95" s="13"/>
      <c r="L95" s="13"/>
      <c r="M95" s="13"/>
      <c r="N95" s="13"/>
      <c r="O95" s="13"/>
      <c r="P95" s="13"/>
      <c r="Q95" s="13"/>
      <c r="R95" s="13"/>
      <c r="S95" s="13"/>
    </row>
    <row r="96" spans="2:19" x14ac:dyDescent="0.25">
      <c r="B96" s="549"/>
      <c r="C96" s="549"/>
      <c r="D96" s="549"/>
      <c r="E96" s="13"/>
      <c r="F96" s="13"/>
      <c r="G96" s="13"/>
      <c r="H96" s="13"/>
      <c r="I96" s="13"/>
      <c r="J96" s="13"/>
      <c r="K96" s="13"/>
      <c r="L96" s="13"/>
      <c r="M96" s="13"/>
      <c r="N96" s="13"/>
      <c r="O96" s="13"/>
      <c r="P96" s="13"/>
      <c r="Q96" s="13"/>
      <c r="R96" s="13"/>
      <c r="S96" s="13"/>
    </row>
    <row r="97" spans="2:19" x14ac:dyDescent="0.25">
      <c r="B97" s="549"/>
      <c r="C97" s="549"/>
      <c r="D97" s="549"/>
      <c r="E97" s="13"/>
      <c r="F97" s="13"/>
      <c r="G97" s="13"/>
      <c r="H97" s="13"/>
      <c r="I97" s="13"/>
      <c r="J97" s="13"/>
      <c r="K97" s="13"/>
      <c r="L97" s="13"/>
      <c r="M97" s="13"/>
      <c r="N97" s="13"/>
      <c r="O97" s="13"/>
      <c r="P97" s="13"/>
      <c r="Q97" s="13"/>
      <c r="R97" s="13"/>
      <c r="S97" s="13"/>
    </row>
    <row r="98" spans="2:19" x14ac:dyDescent="0.25">
      <c r="B98" s="549"/>
      <c r="C98" s="549"/>
      <c r="D98" s="549"/>
      <c r="E98" s="13"/>
      <c r="F98" s="13"/>
      <c r="G98" s="13"/>
      <c r="H98" s="13"/>
      <c r="I98" s="13"/>
      <c r="J98" s="13"/>
      <c r="K98" s="13"/>
      <c r="L98" s="13"/>
      <c r="M98" s="13"/>
      <c r="N98" s="13"/>
      <c r="O98" s="13"/>
      <c r="P98" s="13"/>
      <c r="Q98" s="13"/>
      <c r="R98" s="13"/>
      <c r="S98" s="13"/>
    </row>
    <row r="99" spans="2:19" x14ac:dyDescent="0.25">
      <c r="B99" s="549"/>
      <c r="C99" s="549"/>
      <c r="D99" s="549"/>
      <c r="E99" s="13"/>
      <c r="F99" s="13"/>
      <c r="G99" s="13"/>
      <c r="H99" s="13"/>
      <c r="I99" s="13"/>
      <c r="J99" s="13"/>
      <c r="K99" s="13"/>
      <c r="L99" s="13"/>
      <c r="M99" s="13"/>
      <c r="N99" s="13"/>
      <c r="O99" s="13"/>
      <c r="P99" s="13"/>
      <c r="Q99" s="13"/>
      <c r="R99" s="13"/>
      <c r="S99" s="13"/>
    </row>
    <row r="100" spans="2:19" x14ac:dyDescent="0.25">
      <c r="B100" s="549"/>
      <c r="C100" s="549"/>
      <c r="D100" s="549"/>
      <c r="E100" s="13"/>
      <c r="F100" s="13"/>
      <c r="G100" s="13"/>
      <c r="H100" s="13"/>
      <c r="I100" s="13"/>
      <c r="J100" s="13"/>
      <c r="K100" s="13"/>
      <c r="L100" s="13"/>
      <c r="M100" s="13"/>
      <c r="N100" s="13"/>
      <c r="O100" s="13"/>
      <c r="P100" s="13"/>
      <c r="Q100" s="13"/>
      <c r="R100" s="13"/>
      <c r="S100" s="13"/>
    </row>
    <row r="101" spans="2:19" x14ac:dyDescent="0.25">
      <c r="B101" s="549"/>
      <c r="C101" s="549"/>
      <c r="D101" s="549"/>
      <c r="E101" s="13"/>
      <c r="F101" s="13"/>
      <c r="G101" s="13"/>
      <c r="H101" s="13"/>
      <c r="I101" s="13"/>
      <c r="J101" s="13"/>
      <c r="K101" s="13"/>
      <c r="L101" s="13"/>
      <c r="M101" s="13"/>
      <c r="N101" s="13"/>
      <c r="O101" s="13"/>
      <c r="P101" s="13"/>
      <c r="Q101" s="13"/>
      <c r="R101" s="13"/>
      <c r="S101" s="13"/>
    </row>
    <row r="102" spans="2:19" x14ac:dyDescent="0.25">
      <c r="B102" s="549"/>
      <c r="C102" s="549"/>
      <c r="D102" s="549"/>
      <c r="E102" s="13"/>
      <c r="F102" s="13"/>
      <c r="G102" s="13"/>
      <c r="H102" s="13"/>
      <c r="I102" s="13"/>
      <c r="J102" s="13"/>
      <c r="K102" s="13"/>
      <c r="L102" s="13"/>
      <c r="M102" s="13"/>
      <c r="N102" s="13"/>
      <c r="O102" s="13"/>
      <c r="P102" s="13"/>
      <c r="Q102" s="13"/>
      <c r="R102" s="13"/>
      <c r="S102" s="13"/>
    </row>
    <row r="103" spans="2:19" x14ac:dyDescent="0.25">
      <c r="B103" s="549"/>
      <c r="C103" s="549"/>
      <c r="D103" s="549"/>
      <c r="E103" s="13"/>
      <c r="F103" s="13"/>
      <c r="G103" s="13"/>
      <c r="H103" s="13"/>
      <c r="I103" s="13"/>
      <c r="J103" s="13"/>
      <c r="K103" s="13"/>
      <c r="L103" s="13"/>
      <c r="M103" s="13"/>
      <c r="N103" s="13"/>
      <c r="O103" s="13"/>
      <c r="P103" s="13"/>
      <c r="Q103" s="13"/>
      <c r="R103" s="13"/>
      <c r="S103" s="13"/>
    </row>
    <row r="104" spans="2:19" x14ac:dyDescent="0.25">
      <c r="B104" s="549"/>
      <c r="C104" s="549"/>
      <c r="D104" s="549"/>
      <c r="E104" s="13"/>
      <c r="F104" s="13"/>
      <c r="G104" s="13"/>
      <c r="H104" s="13"/>
      <c r="I104" s="13"/>
      <c r="J104" s="13"/>
      <c r="K104" s="13"/>
      <c r="L104" s="13"/>
      <c r="M104" s="13"/>
      <c r="N104" s="13"/>
      <c r="O104" s="13"/>
      <c r="P104" s="13"/>
      <c r="Q104" s="13"/>
      <c r="R104" s="13"/>
      <c r="S104" s="13"/>
    </row>
    <row r="105" spans="2:19" x14ac:dyDescent="0.25">
      <c r="B105" s="549"/>
      <c r="C105" s="549"/>
      <c r="D105" s="549"/>
      <c r="E105" s="13"/>
      <c r="F105" s="13"/>
      <c r="G105" s="13"/>
      <c r="H105" s="13"/>
      <c r="I105" s="13"/>
      <c r="J105" s="13"/>
      <c r="K105" s="13"/>
      <c r="L105" s="13"/>
      <c r="M105" s="13"/>
      <c r="N105" s="13"/>
      <c r="O105" s="13"/>
      <c r="P105" s="13"/>
      <c r="Q105" s="13"/>
      <c r="R105" s="13"/>
      <c r="S105" s="13"/>
    </row>
    <row r="106" spans="2:19" x14ac:dyDescent="0.25">
      <c r="B106" s="549"/>
      <c r="C106" s="549"/>
      <c r="D106" s="549"/>
      <c r="E106" s="13"/>
      <c r="F106" s="13"/>
      <c r="G106" s="13"/>
      <c r="H106" s="13"/>
      <c r="I106" s="13"/>
      <c r="J106" s="13"/>
      <c r="K106" s="13"/>
      <c r="L106" s="13"/>
      <c r="M106" s="13"/>
      <c r="N106" s="13"/>
      <c r="O106" s="13"/>
      <c r="P106" s="13"/>
      <c r="Q106" s="13"/>
      <c r="R106" s="13"/>
      <c r="S106" s="13"/>
    </row>
    <row r="107" spans="2:19" x14ac:dyDescent="0.25">
      <c r="B107" s="549"/>
      <c r="C107" s="549"/>
      <c r="D107" s="549"/>
      <c r="E107" s="13"/>
      <c r="F107" s="13"/>
      <c r="G107" s="13"/>
      <c r="H107" s="13"/>
      <c r="I107" s="13"/>
      <c r="J107" s="13"/>
      <c r="K107" s="13"/>
      <c r="L107" s="13"/>
      <c r="M107" s="13"/>
      <c r="N107" s="13"/>
      <c r="O107" s="13"/>
      <c r="P107" s="13"/>
      <c r="Q107" s="13"/>
      <c r="R107" s="13"/>
      <c r="S107" s="13"/>
    </row>
    <row r="108" spans="2:19" x14ac:dyDescent="0.25">
      <c r="B108" s="549"/>
      <c r="C108" s="549"/>
      <c r="D108" s="549"/>
      <c r="E108" s="13"/>
      <c r="F108" s="13"/>
      <c r="G108" s="13"/>
      <c r="H108" s="13"/>
      <c r="I108" s="13"/>
      <c r="J108" s="13"/>
      <c r="K108" s="13"/>
      <c r="L108" s="13"/>
      <c r="M108" s="13"/>
      <c r="N108" s="13"/>
      <c r="O108" s="13"/>
      <c r="P108" s="13"/>
      <c r="Q108" s="13"/>
      <c r="R108" s="13"/>
      <c r="S108" s="13"/>
    </row>
    <row r="109" spans="2:19" x14ac:dyDescent="0.25">
      <c r="B109" s="549"/>
      <c r="C109" s="549"/>
      <c r="D109" s="549"/>
      <c r="E109" s="13"/>
      <c r="F109" s="13"/>
      <c r="G109" s="13"/>
      <c r="H109" s="13"/>
      <c r="I109" s="13"/>
      <c r="J109" s="13"/>
      <c r="K109" s="13"/>
      <c r="L109" s="13"/>
      <c r="M109" s="13"/>
      <c r="N109" s="13"/>
      <c r="O109" s="13"/>
      <c r="P109" s="13"/>
      <c r="Q109" s="13"/>
      <c r="R109" s="13"/>
      <c r="S109" s="13"/>
    </row>
    <row r="110" spans="2:19" x14ac:dyDescent="0.25">
      <c r="B110" s="549"/>
      <c r="C110" s="549"/>
      <c r="D110" s="549"/>
      <c r="E110" s="13"/>
      <c r="F110" s="13"/>
      <c r="G110" s="13"/>
      <c r="H110" s="13"/>
      <c r="I110" s="13"/>
      <c r="J110" s="13"/>
      <c r="K110" s="13"/>
      <c r="L110" s="13"/>
      <c r="M110" s="13"/>
      <c r="N110" s="13"/>
      <c r="O110" s="13"/>
      <c r="P110" s="13"/>
      <c r="Q110" s="13"/>
      <c r="R110" s="13"/>
      <c r="S110" s="13"/>
    </row>
    <row r="111" spans="2:19" x14ac:dyDescent="0.25">
      <c r="E111" s="13"/>
      <c r="F111" s="13"/>
      <c r="G111" s="13"/>
      <c r="H111" s="13"/>
      <c r="I111" s="13"/>
      <c r="J111" s="13"/>
      <c r="K111" s="13"/>
      <c r="L111" s="13"/>
      <c r="M111" s="13"/>
      <c r="N111" s="13"/>
      <c r="O111" s="13"/>
      <c r="P111" s="13"/>
      <c r="Q111" s="13"/>
      <c r="R111" s="13"/>
      <c r="S111" s="13"/>
    </row>
    <row r="112" spans="2:19" x14ac:dyDescent="0.25">
      <c r="E112" s="13"/>
      <c r="F112" s="13"/>
      <c r="G112" s="13"/>
      <c r="H112" s="13"/>
      <c r="I112" s="13"/>
      <c r="J112" s="13"/>
      <c r="K112" s="13"/>
      <c r="L112" s="13"/>
      <c r="M112" s="13"/>
      <c r="N112" s="13"/>
      <c r="O112" s="13"/>
      <c r="P112" s="13"/>
      <c r="Q112" s="13"/>
      <c r="R112" s="13"/>
      <c r="S112" s="13"/>
    </row>
    <row r="113" spans="2:4" s="13" customFormat="1" x14ac:dyDescent="0.25">
      <c r="B113" s="41"/>
      <c r="C113" s="41"/>
      <c r="D113" s="41"/>
    </row>
    <row r="114" spans="2:4" s="13" customFormat="1" x14ac:dyDescent="0.25">
      <c r="B114" s="41"/>
      <c r="C114" s="41"/>
      <c r="D114" s="41"/>
    </row>
    <row r="115" spans="2:4" s="13" customFormat="1" x14ac:dyDescent="0.25">
      <c r="B115" s="41"/>
      <c r="C115" s="41"/>
      <c r="D115" s="41"/>
    </row>
    <row r="116" spans="2:4" s="13" customFormat="1" x14ac:dyDescent="0.25">
      <c r="B116" s="41"/>
      <c r="C116" s="41"/>
      <c r="D116" s="41"/>
    </row>
    <row r="117" spans="2:4" s="13" customFormat="1" x14ac:dyDescent="0.25">
      <c r="B117" s="41"/>
      <c r="C117" s="41"/>
      <c r="D117" s="41"/>
    </row>
    <row r="118" spans="2:4" s="13" customFormat="1" x14ac:dyDescent="0.25">
      <c r="B118" s="41"/>
      <c r="C118" s="41"/>
      <c r="D118" s="41"/>
    </row>
    <row r="119" spans="2:4" s="13" customFormat="1" x14ac:dyDescent="0.25">
      <c r="B119" s="41"/>
      <c r="C119" s="41"/>
      <c r="D119" s="41"/>
    </row>
    <row r="120" spans="2:4" s="13" customFormat="1" x14ac:dyDescent="0.25">
      <c r="B120" s="41"/>
      <c r="C120" s="41"/>
      <c r="D120" s="41"/>
    </row>
    <row r="121" spans="2:4" s="13" customFormat="1" x14ac:dyDescent="0.25">
      <c r="B121" s="41"/>
      <c r="C121" s="41"/>
      <c r="D121" s="41"/>
    </row>
    <row r="122" spans="2:4" s="13" customFormat="1" x14ac:dyDescent="0.25">
      <c r="B122" s="41"/>
      <c r="C122" s="41"/>
      <c r="D122" s="41"/>
    </row>
    <row r="123" spans="2:4" s="13" customFormat="1" x14ac:dyDescent="0.25">
      <c r="B123" s="41"/>
      <c r="C123" s="41"/>
      <c r="D123" s="41"/>
    </row>
    <row r="124" spans="2:4" s="13" customFormat="1" x14ac:dyDescent="0.25">
      <c r="B124" s="41"/>
      <c r="C124" s="41"/>
      <c r="D124" s="41"/>
    </row>
    <row r="125" spans="2:4" s="13" customFormat="1" x14ac:dyDescent="0.25">
      <c r="B125" s="41"/>
      <c r="C125" s="41"/>
      <c r="D125" s="41"/>
    </row>
    <row r="126" spans="2:4" s="13" customFormat="1" x14ac:dyDescent="0.25">
      <c r="B126" s="41"/>
      <c r="C126" s="41"/>
      <c r="D126" s="41"/>
    </row>
    <row r="127" spans="2:4" s="13" customFormat="1" x14ac:dyDescent="0.25">
      <c r="B127" s="41"/>
      <c r="C127" s="41"/>
      <c r="D127" s="41"/>
    </row>
    <row r="128" spans="2:4" s="13" customFormat="1" x14ac:dyDescent="0.25">
      <c r="B128" s="41"/>
      <c r="C128" s="41"/>
      <c r="D128" s="41"/>
    </row>
    <row r="129" spans="2:4" s="13" customFormat="1" x14ac:dyDescent="0.25">
      <c r="B129" s="41"/>
      <c r="C129" s="41"/>
      <c r="D129" s="41"/>
    </row>
    <row r="130" spans="2:4" s="13" customFormat="1" x14ac:dyDescent="0.25">
      <c r="B130" s="41"/>
      <c r="C130" s="41"/>
      <c r="D130" s="41"/>
    </row>
    <row r="131" spans="2:4" s="13" customFormat="1" x14ac:dyDescent="0.25">
      <c r="B131" s="41"/>
      <c r="C131" s="41"/>
      <c r="D131" s="41"/>
    </row>
    <row r="132" spans="2:4" s="13" customFormat="1" x14ac:dyDescent="0.25">
      <c r="B132" s="41"/>
      <c r="C132" s="41"/>
      <c r="D132" s="41"/>
    </row>
    <row r="133" spans="2:4" s="13" customFormat="1" x14ac:dyDescent="0.25">
      <c r="B133" s="41"/>
      <c r="C133" s="41"/>
      <c r="D133" s="41"/>
    </row>
    <row r="134" spans="2:4" s="13" customFormat="1" x14ac:dyDescent="0.25">
      <c r="B134" s="41"/>
      <c r="C134" s="41"/>
      <c r="D134" s="41"/>
    </row>
    <row r="135" spans="2:4" s="13" customFormat="1" x14ac:dyDescent="0.25">
      <c r="B135" s="41"/>
      <c r="C135" s="41"/>
      <c r="D135" s="41"/>
    </row>
    <row r="136" spans="2:4" s="13" customFormat="1" x14ac:dyDescent="0.25">
      <c r="B136" s="41"/>
      <c r="C136" s="41"/>
      <c r="D136" s="41"/>
    </row>
    <row r="137" spans="2:4" s="13" customFormat="1" x14ac:dyDescent="0.25">
      <c r="B137" s="41"/>
      <c r="C137" s="41"/>
      <c r="D137" s="41"/>
    </row>
    <row r="138" spans="2:4" s="13" customFormat="1" x14ac:dyDescent="0.25">
      <c r="B138" s="41"/>
      <c r="C138" s="41"/>
      <c r="D138" s="41"/>
    </row>
    <row r="139" spans="2:4" s="13" customFormat="1" x14ac:dyDescent="0.25">
      <c r="B139" s="41"/>
      <c r="C139" s="41"/>
      <c r="D139" s="41"/>
    </row>
    <row r="140" spans="2:4" s="13" customFormat="1" x14ac:dyDescent="0.25">
      <c r="B140" s="41"/>
      <c r="C140" s="41"/>
      <c r="D140" s="41"/>
    </row>
    <row r="141" spans="2:4" s="13" customFormat="1" x14ac:dyDescent="0.25">
      <c r="B141" s="41"/>
      <c r="C141" s="41"/>
      <c r="D141" s="41"/>
    </row>
    <row r="142" spans="2:4" s="13" customFormat="1" x14ac:dyDescent="0.25">
      <c r="B142" s="41"/>
      <c r="C142" s="41"/>
      <c r="D142" s="41"/>
    </row>
    <row r="143" spans="2:4" s="13" customFormat="1" x14ac:dyDescent="0.25">
      <c r="B143" s="41"/>
      <c r="C143" s="41"/>
      <c r="D143" s="41"/>
    </row>
    <row r="144" spans="2:4" s="13" customFormat="1" x14ac:dyDescent="0.25">
      <c r="B144" s="41"/>
      <c r="C144" s="41"/>
      <c r="D144" s="41"/>
    </row>
    <row r="145" spans="2:4" s="13" customFormat="1" x14ac:dyDescent="0.25">
      <c r="B145" s="41"/>
      <c r="C145" s="41"/>
      <c r="D145" s="41"/>
    </row>
    <row r="146" spans="2:4" s="13" customFormat="1" x14ac:dyDescent="0.25">
      <c r="B146" s="41"/>
      <c r="C146" s="41"/>
      <c r="D146" s="41"/>
    </row>
    <row r="147" spans="2:4" s="13" customFormat="1" x14ac:dyDescent="0.25">
      <c r="B147" s="41"/>
      <c r="C147" s="41"/>
      <c r="D147" s="41"/>
    </row>
    <row r="148" spans="2:4" s="13" customFormat="1" x14ac:dyDescent="0.25">
      <c r="B148" s="41"/>
      <c r="C148" s="41"/>
      <c r="D148" s="41"/>
    </row>
    <row r="149" spans="2:4" s="13" customFormat="1" x14ac:dyDescent="0.25">
      <c r="B149" s="41"/>
      <c r="C149" s="41"/>
      <c r="D149" s="41"/>
    </row>
    <row r="150" spans="2:4" s="13" customFormat="1" x14ac:dyDescent="0.25">
      <c r="B150" s="41"/>
      <c r="C150" s="41"/>
      <c r="D150" s="41"/>
    </row>
    <row r="151" spans="2:4" s="13" customFormat="1" x14ac:dyDescent="0.25">
      <c r="B151" s="41"/>
      <c r="C151" s="41"/>
      <c r="D151" s="41"/>
    </row>
    <row r="152" spans="2:4" s="13" customFormat="1" x14ac:dyDescent="0.25">
      <c r="B152" s="41"/>
      <c r="C152" s="41"/>
      <c r="D152" s="41"/>
    </row>
    <row r="153" spans="2:4" s="13" customFormat="1" x14ac:dyDescent="0.25">
      <c r="B153" s="41"/>
      <c r="C153" s="41"/>
      <c r="D153" s="41"/>
    </row>
    <row r="154" spans="2:4" s="13" customFormat="1" x14ac:dyDescent="0.25">
      <c r="B154" s="41"/>
      <c r="C154" s="41"/>
      <c r="D154" s="41"/>
    </row>
    <row r="155" spans="2:4" s="13" customFormat="1" x14ac:dyDescent="0.25">
      <c r="B155" s="41"/>
      <c r="C155" s="41"/>
      <c r="D155" s="41"/>
    </row>
    <row r="156" spans="2:4" s="13" customFormat="1" x14ac:dyDescent="0.25">
      <c r="B156" s="41"/>
      <c r="C156" s="41"/>
      <c r="D156" s="41"/>
    </row>
    <row r="157" spans="2:4" s="13" customFormat="1" x14ac:dyDescent="0.25">
      <c r="B157" s="41"/>
      <c r="C157" s="41"/>
      <c r="D157" s="41"/>
    </row>
    <row r="158" spans="2:4" s="13" customFormat="1" x14ac:dyDescent="0.25">
      <c r="B158" s="41"/>
      <c r="C158" s="41"/>
      <c r="D158" s="41"/>
    </row>
    <row r="159" spans="2:4" s="13" customFormat="1" x14ac:dyDescent="0.25">
      <c r="B159" s="41"/>
      <c r="C159" s="41"/>
      <c r="D159" s="41"/>
    </row>
    <row r="160" spans="2:4" s="13" customFormat="1" x14ac:dyDescent="0.25">
      <c r="B160" s="41"/>
      <c r="C160" s="41"/>
      <c r="D160" s="41"/>
    </row>
    <row r="161" spans="2:4" s="13" customFormat="1" x14ac:dyDescent="0.25">
      <c r="B161" s="41"/>
      <c r="C161" s="41"/>
      <c r="D161" s="41"/>
    </row>
  </sheetData>
  <sheetProtection algorithmName="SHA-512" hashValue="xY6YbygUQOggG8oQV4DzkuUezw61iPZQvKXd+XZN0f9f322moCwO/V14LVg4eKIVE8vQyLcK590r4NuRFHEexw==" saltValue="KVBaQHtenrZXICA1pPlXfw==" spinCount="100000" sheet="1" objects="1" scenarios="1"/>
  <customSheetViews>
    <customSheetView guid="{A6F5A5FB-2E6E-47D3-842C-0D3D06DB341A}" scale="70" fitToPage="1">
      <selection activeCell="B31" sqref="B31"/>
      <pageMargins left="0" right="0" top="0" bottom="0" header="0" footer="0"/>
      <pageSetup scale="56" orientation="portrait" horizontalDpi="300" verticalDpi="300" r:id="rId1"/>
      <headerFooter alignWithMargins="0"/>
    </customSheetView>
  </customSheetViews>
  <mergeCells count="3">
    <mergeCell ref="B91:D110"/>
    <mergeCell ref="C7:D7"/>
    <mergeCell ref="C8:D8"/>
  </mergeCells>
  <phoneticPr fontId="2" type="noConversion"/>
  <pageMargins left="0.4" right="0.44" top="0.75" bottom="1" header="0.5" footer="0.5"/>
  <pageSetup scale="28" orientation="portrait" horizontalDpi="300" verticalDpi="300"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pageSetUpPr autoPageBreaks="0"/>
  </sheetPr>
  <dimension ref="A1:BH299"/>
  <sheetViews>
    <sheetView showGridLines="0" topLeftCell="A68" zoomScaleNormal="100" zoomScaleSheetLayoutView="40" workbookViewId="0">
      <selection activeCell="D75" sqref="D75"/>
    </sheetView>
  </sheetViews>
  <sheetFormatPr defaultColWidth="9.1796875" defaultRowHeight="12.5" x14ac:dyDescent="0.25"/>
  <cols>
    <col min="1" max="1" width="3.26953125" style="13" customWidth="1"/>
    <col min="2" max="2" width="36.26953125" style="13" customWidth="1"/>
    <col min="3" max="3" width="26.81640625" style="46" customWidth="1"/>
    <col min="4" max="4" width="24.54296875" style="46" customWidth="1"/>
    <col min="5" max="5" width="34.453125" style="46" customWidth="1"/>
    <col min="6" max="6" width="34.54296875" style="46" customWidth="1"/>
    <col min="7" max="7" width="23.81640625" style="46" customWidth="1"/>
    <col min="8" max="8" width="23.7265625" style="46" customWidth="1"/>
    <col min="9" max="12" width="20.7265625" style="46" customWidth="1"/>
    <col min="13" max="13" width="14.453125" style="46" customWidth="1"/>
    <col min="14" max="16384" width="9.1796875" style="13"/>
  </cols>
  <sheetData>
    <row r="1" spans="2:13" ht="13" x14ac:dyDescent="0.3">
      <c r="B1" s="14" t="s">
        <v>0</v>
      </c>
    </row>
    <row r="2" spans="2:13" ht="13" x14ac:dyDescent="0.3">
      <c r="B2" s="14" t="s">
        <v>116</v>
      </c>
    </row>
    <row r="3" spans="2:13" ht="18" customHeight="1" x14ac:dyDescent="0.4">
      <c r="B3" s="15" t="s">
        <v>171</v>
      </c>
    </row>
    <row r="4" spans="2:13" ht="13" x14ac:dyDescent="0.3">
      <c r="B4" s="3"/>
    </row>
    <row r="5" spans="2:13" ht="13" x14ac:dyDescent="0.3">
      <c r="B5" s="3" t="s">
        <v>118</v>
      </c>
      <c r="C5" s="26"/>
      <c r="D5" s="27"/>
    </row>
    <row r="6" spans="2:13" ht="13" x14ac:dyDescent="0.3">
      <c r="B6" s="17" t="s">
        <v>172</v>
      </c>
      <c r="C6" s="18" t="s">
        <v>173</v>
      </c>
      <c r="D6" s="19"/>
    </row>
    <row r="7" spans="2:13" ht="13" x14ac:dyDescent="0.3">
      <c r="B7" s="306" t="s">
        <v>119</v>
      </c>
      <c r="C7" s="307" t="s">
        <v>174</v>
      </c>
      <c r="D7" s="308"/>
      <c r="E7" s="4"/>
      <c r="G7" s="96"/>
      <c r="H7" s="96"/>
      <c r="I7" s="96"/>
      <c r="J7" s="13"/>
      <c r="K7" s="13"/>
      <c r="L7" s="13"/>
      <c r="M7" s="13"/>
    </row>
    <row r="8" spans="2:13" ht="13" x14ac:dyDescent="0.3">
      <c r="B8" s="97" t="s">
        <v>121</v>
      </c>
      <c r="C8" s="98" t="s">
        <v>122</v>
      </c>
      <c r="D8" s="99"/>
      <c r="M8" s="13"/>
    </row>
    <row r="9" spans="2:13" ht="13" x14ac:dyDescent="0.3">
      <c r="B9" s="20" t="s">
        <v>175</v>
      </c>
      <c r="C9" s="21" t="s">
        <v>176</v>
      </c>
      <c r="D9" s="22"/>
      <c r="M9" s="13"/>
    </row>
    <row r="10" spans="2:13" ht="13" x14ac:dyDescent="0.3">
      <c r="B10" s="23" t="s">
        <v>177</v>
      </c>
      <c r="C10" s="24" t="s">
        <v>178</v>
      </c>
      <c r="D10" s="25"/>
      <c r="E10" s="13"/>
    </row>
    <row r="11" spans="2:13" ht="13" x14ac:dyDescent="0.3">
      <c r="B11" s="247" t="s">
        <v>179</v>
      </c>
      <c r="C11" s="248" t="s">
        <v>180</v>
      </c>
      <c r="D11" s="249"/>
      <c r="E11" s="13"/>
    </row>
    <row r="12" spans="2:13" x14ac:dyDescent="0.25">
      <c r="C12" s="26"/>
      <c r="D12" s="27"/>
      <c r="E12" s="13"/>
    </row>
    <row r="13" spans="2:13" ht="17.25" customHeight="1" x14ac:dyDescent="0.3">
      <c r="B13" s="100" t="s">
        <v>181</v>
      </c>
      <c r="C13" s="26"/>
      <c r="D13" s="27"/>
      <c r="E13" s="13"/>
      <c r="F13" s="13"/>
      <c r="G13" s="13"/>
      <c r="H13" s="13"/>
      <c r="I13" s="13"/>
      <c r="J13" s="13"/>
      <c r="K13" s="13"/>
    </row>
    <row r="14" spans="2:13" ht="13" x14ac:dyDescent="0.3">
      <c r="B14" s="101"/>
      <c r="C14" s="26"/>
      <c r="D14" s="27"/>
      <c r="E14" s="13"/>
      <c r="F14" s="13"/>
      <c r="G14" s="13"/>
      <c r="H14" s="13"/>
      <c r="I14" s="13"/>
      <c r="J14" s="13"/>
      <c r="K14" s="13"/>
    </row>
    <row r="15" spans="2:13" s="92" customFormat="1" ht="15.5" x14ac:dyDescent="0.35">
      <c r="B15" s="88" t="s">
        <v>182</v>
      </c>
      <c r="C15" s="102"/>
      <c r="D15" s="102"/>
      <c r="E15" s="102"/>
      <c r="F15" s="102"/>
      <c r="G15" s="102"/>
      <c r="H15" s="102"/>
      <c r="I15" s="102"/>
      <c r="J15" s="102"/>
      <c r="K15" s="102"/>
      <c r="L15" s="102"/>
      <c r="M15" s="102"/>
    </row>
    <row r="16" spans="2:13" ht="13.5" customHeight="1" x14ac:dyDescent="0.25">
      <c r="B16" s="13" t="s">
        <v>183</v>
      </c>
    </row>
    <row r="17" spans="1:16" x14ac:dyDescent="0.25">
      <c r="B17" s="292" t="s">
        <v>184</v>
      </c>
      <c r="C17" s="398"/>
      <c r="E17"/>
      <c r="F17"/>
      <c r="G17"/>
      <c r="H17"/>
    </row>
    <row r="18" spans="1:16" ht="12.75" customHeight="1" x14ac:dyDescent="0.25">
      <c r="B18" s="292" t="s">
        <v>185</v>
      </c>
      <c r="C18" s="398"/>
      <c r="E18"/>
      <c r="F18"/>
      <c r="G18"/>
      <c r="H18"/>
      <c r="I18" s="13"/>
    </row>
    <row r="19" spans="1:16" x14ac:dyDescent="0.25">
      <c r="B19" s="292" t="s">
        <v>186</v>
      </c>
      <c r="C19" s="398"/>
      <c r="E19"/>
      <c r="F19"/>
      <c r="G19"/>
      <c r="H19"/>
    </row>
    <row r="20" spans="1:16" ht="14.5" x14ac:dyDescent="0.25">
      <c r="B20" s="292" t="s">
        <v>187</v>
      </c>
      <c r="C20" s="398"/>
      <c r="E20"/>
      <c r="F20"/>
      <c r="G20"/>
      <c r="H20"/>
      <c r="J20" s="382"/>
    </row>
    <row r="21" spans="1:16" x14ac:dyDescent="0.25">
      <c r="B21" s="292" t="s">
        <v>188</v>
      </c>
      <c r="C21" s="398"/>
      <c r="E21"/>
      <c r="F21"/>
      <c r="G21"/>
      <c r="H21"/>
    </row>
    <row r="22" spans="1:16" x14ac:dyDescent="0.25">
      <c r="B22" s="47"/>
      <c r="C22" s="338"/>
      <c r="E22" s="13"/>
      <c r="F22" s="13"/>
      <c r="G22" s="13"/>
      <c r="H22" s="13"/>
    </row>
    <row r="23" spans="1:16" x14ac:dyDescent="0.25">
      <c r="B23" s="292" t="s">
        <v>126</v>
      </c>
      <c r="C23" s="399"/>
      <c r="E23" s="13"/>
    </row>
    <row r="24" spans="1:16" x14ac:dyDescent="0.25">
      <c r="B24" s="292" t="s">
        <v>127</v>
      </c>
      <c r="C24" s="400"/>
      <c r="E24" s="13"/>
    </row>
    <row r="25" spans="1:16" x14ac:dyDescent="0.25">
      <c r="B25" s="292" t="s">
        <v>128</v>
      </c>
      <c r="C25" s="400"/>
      <c r="E25" s="13"/>
    </row>
    <row r="26" spans="1:16" ht="56.25" customHeight="1" x14ac:dyDescent="0.25">
      <c r="B26" s="293" t="s">
        <v>189</v>
      </c>
      <c r="C26" s="398"/>
    </row>
    <row r="27" spans="1:16" ht="45.75" customHeight="1" x14ac:dyDescent="0.25">
      <c r="B27" s="293" t="s">
        <v>190</v>
      </c>
      <c r="C27" s="398"/>
      <c r="D27" s="363" t="s">
        <v>191</v>
      </c>
    </row>
    <row r="28" spans="1:16" ht="44.25" customHeight="1" x14ac:dyDescent="0.25">
      <c r="B28" s="293" t="s">
        <v>192</v>
      </c>
      <c r="C28" s="401" t="str">
        <f>IF(SUM('V. BE CH4,AS'!G22,'V. BE CH4,AS'!G46,'V. BE CH4,AS'!G70,'V. BE CH4,AS'!G95,'V. BE CH4,AS'!G119,'V. BE CH4,AS'!G143,'V. BE CH4,AS'!G167,'V. BE CH4,AS'!G191,'V. BE CH4,AS'!G214,'V. BE CH4,AS'!G239,'V. BE CH4,AS'!G263,'V. BE CH4,AS'!G287,'V. BE CH4,AS'!G313,'V. BE CH4,AS'!G337,'V. BE CH4,AS'!G360,'V. BE CH4,AS'!G384,'V. BE CH4,AS'!G408,'V. BE CH4,AS'!G432,'V. BE CH4,AS'!G456,'V. BE CH4,AS'!G480)=0, "NO", "YES")</f>
        <v>NO</v>
      </c>
    </row>
    <row r="29" spans="1:16" ht="13" x14ac:dyDescent="0.3">
      <c r="B29" s="16"/>
    </row>
    <row r="30" spans="1:16" s="92" customFormat="1" ht="15.5" x14ac:dyDescent="0.35">
      <c r="B30" s="88" t="s">
        <v>193</v>
      </c>
      <c r="C30" s="102"/>
      <c r="D30" s="102"/>
      <c r="E30" s="102"/>
      <c r="F30" s="102"/>
      <c r="G30" s="102"/>
      <c r="H30" s="102"/>
      <c r="I30" s="102"/>
      <c r="J30" s="102"/>
      <c r="K30" s="102"/>
      <c r="L30" s="102"/>
      <c r="M30" s="102"/>
    </row>
    <row r="31" spans="1:16" ht="51.75" customHeight="1" x14ac:dyDescent="0.25">
      <c r="B31" s="555" t="s">
        <v>194</v>
      </c>
      <c r="C31" s="555"/>
      <c r="D31" s="555"/>
      <c r="E31" s="555"/>
      <c r="F31" s="555"/>
      <c r="G31" s="555"/>
    </row>
    <row r="32" spans="1:16" ht="41.25" customHeight="1" x14ac:dyDescent="0.3">
      <c r="A32" s="46"/>
      <c r="B32" s="128" t="s">
        <v>195</v>
      </c>
      <c r="C32" s="128" t="s">
        <v>196</v>
      </c>
      <c r="D32" s="365" t="s">
        <v>197</v>
      </c>
      <c r="E32" s="365" t="s">
        <v>198</v>
      </c>
      <c r="F32" s="365" t="s">
        <v>199</v>
      </c>
      <c r="G32" s="365" t="s">
        <v>200</v>
      </c>
      <c r="I32" s="554" t="s">
        <v>201</v>
      </c>
      <c r="J32" s="554"/>
      <c r="K32" s="554"/>
      <c r="L32" s="554"/>
      <c r="N32" s="46"/>
      <c r="O32" s="46"/>
      <c r="P32" s="46"/>
    </row>
    <row r="33" spans="2:16" ht="13" x14ac:dyDescent="0.3">
      <c r="B33" s="402" t="str">
        <f>TEXT(EOMONTH($C$24,0),"mmmmmmmmmm")</f>
        <v>January</v>
      </c>
      <c r="C33" s="35"/>
      <c r="D33" s="403"/>
      <c r="E33" s="535">
        <f>VLOOKUP(B33, 'XIV. Reference Tables'!$C$568:$D$579, 2, FALSE)</f>
        <v>31</v>
      </c>
      <c r="F33" s="328"/>
      <c r="G33" s="404">
        <f>(E33-F33)*D33</f>
        <v>0</v>
      </c>
      <c r="H33" s="1" t="b">
        <f t="shared" ref="H33:H44" si="0">IF($C$26=B33, TRUE, FALSE)</f>
        <v>0</v>
      </c>
      <c r="I33" s="554"/>
      <c r="J33" s="554"/>
      <c r="K33" s="554"/>
      <c r="L33" s="554"/>
      <c r="N33" s="46"/>
      <c r="O33" s="46"/>
      <c r="P33" s="46"/>
    </row>
    <row r="34" spans="2:16" ht="13" x14ac:dyDescent="0.3">
      <c r="B34" s="402" t="str">
        <f>TEXT(EOMONTH($C$24,1),"mmmmmmmmmm")</f>
        <v>February</v>
      </c>
      <c r="C34" s="35"/>
      <c r="D34" s="403"/>
      <c r="E34" s="535">
        <f>VLOOKUP(B34, 'XIV. Reference Tables'!$C$568:$D$579, 2, FALSE)</f>
        <v>28</v>
      </c>
      <c r="F34" s="328"/>
      <c r="G34" s="404">
        <f t="shared" ref="G34:G44" si="1">(E34-F34)*D34</f>
        <v>0</v>
      </c>
      <c r="H34" s="1" t="b">
        <f t="shared" si="0"/>
        <v>0</v>
      </c>
      <c r="I34" s="554"/>
      <c r="J34" s="554"/>
      <c r="K34" s="554"/>
      <c r="L34" s="554"/>
      <c r="N34" s="46"/>
      <c r="O34" s="46"/>
      <c r="P34" s="46"/>
    </row>
    <row r="35" spans="2:16" ht="13" x14ac:dyDescent="0.3">
      <c r="B35" s="402" t="str">
        <f>TEXT(EOMONTH($C$24,2),"mmmmmmmmmm")</f>
        <v>March</v>
      </c>
      <c r="C35" s="35"/>
      <c r="D35" s="403"/>
      <c r="E35" s="535">
        <f>VLOOKUP(B35, 'XIV. Reference Tables'!$C$568:$D$579, 2, FALSE)</f>
        <v>31</v>
      </c>
      <c r="F35" s="328"/>
      <c r="G35" s="404">
        <f t="shared" si="1"/>
        <v>0</v>
      </c>
      <c r="H35" s="1" t="b">
        <f t="shared" si="0"/>
        <v>0</v>
      </c>
      <c r="I35" s="554"/>
      <c r="J35" s="554"/>
      <c r="K35" s="554"/>
      <c r="L35" s="554"/>
      <c r="N35" s="46"/>
      <c r="O35" s="46"/>
      <c r="P35" s="46"/>
    </row>
    <row r="36" spans="2:16" ht="13" x14ac:dyDescent="0.3">
      <c r="B36" s="402" t="str">
        <f>TEXT(EOMONTH($C$24,3),"mmmmmmmmmm")</f>
        <v>April</v>
      </c>
      <c r="C36" s="35"/>
      <c r="D36" s="403"/>
      <c r="E36" s="535">
        <f>VLOOKUP(B36, 'XIV. Reference Tables'!$C$568:$D$579, 2, FALSE)</f>
        <v>30</v>
      </c>
      <c r="F36" s="328"/>
      <c r="G36" s="404">
        <f t="shared" si="1"/>
        <v>0</v>
      </c>
      <c r="H36" s="1" t="b">
        <f t="shared" si="0"/>
        <v>0</v>
      </c>
      <c r="I36" s="554"/>
      <c r="J36" s="554"/>
      <c r="K36" s="554"/>
      <c r="L36" s="554"/>
      <c r="N36" s="46"/>
      <c r="O36" s="46"/>
      <c r="P36" s="46"/>
    </row>
    <row r="37" spans="2:16" ht="13" x14ac:dyDescent="0.3">
      <c r="B37" s="402" t="str">
        <f>TEXT(EOMONTH($C$24,4),"mmmmmmmmmm")</f>
        <v>May</v>
      </c>
      <c r="C37" s="35"/>
      <c r="D37" s="403"/>
      <c r="E37" s="535">
        <f>VLOOKUP(B37, 'XIV. Reference Tables'!$C$568:$D$579, 2, FALSE)</f>
        <v>31</v>
      </c>
      <c r="F37" s="328"/>
      <c r="G37" s="404">
        <f t="shared" si="1"/>
        <v>0</v>
      </c>
      <c r="H37" s="1" t="b">
        <f t="shared" si="0"/>
        <v>0</v>
      </c>
      <c r="I37" s="554"/>
      <c r="J37" s="554"/>
      <c r="K37" s="554"/>
      <c r="L37" s="554"/>
      <c r="N37" s="46"/>
      <c r="O37" s="46"/>
      <c r="P37" s="46"/>
    </row>
    <row r="38" spans="2:16" ht="13" x14ac:dyDescent="0.3">
      <c r="B38" s="402" t="str">
        <f>TEXT(EOMONTH($C$24,5),"mmmmmmmmmm")</f>
        <v>June</v>
      </c>
      <c r="C38" s="35"/>
      <c r="D38" s="403"/>
      <c r="E38" s="535">
        <f>VLOOKUP(B38, 'XIV. Reference Tables'!$C$568:$D$579, 2, FALSE)</f>
        <v>30</v>
      </c>
      <c r="F38" s="328"/>
      <c r="G38" s="404">
        <f t="shared" si="1"/>
        <v>0</v>
      </c>
      <c r="H38" s="1" t="b">
        <f t="shared" si="0"/>
        <v>0</v>
      </c>
      <c r="I38" s="554"/>
      <c r="J38" s="554"/>
      <c r="K38" s="554"/>
      <c r="L38" s="554"/>
      <c r="N38" s="46"/>
      <c r="O38" s="46"/>
      <c r="P38" s="46"/>
    </row>
    <row r="39" spans="2:16" ht="13" x14ac:dyDescent="0.3">
      <c r="B39" s="402" t="str">
        <f>TEXT(EOMONTH($C$24,6),"mmmmmmmmmm")</f>
        <v>July</v>
      </c>
      <c r="C39" s="35"/>
      <c r="D39" s="403"/>
      <c r="E39" s="535">
        <f>VLOOKUP(B39, 'XIV. Reference Tables'!$C$568:$D$579, 2, FALSE)</f>
        <v>31</v>
      </c>
      <c r="F39" s="328"/>
      <c r="G39" s="404">
        <f t="shared" si="1"/>
        <v>0</v>
      </c>
      <c r="H39" s="1" t="b">
        <f t="shared" si="0"/>
        <v>0</v>
      </c>
      <c r="I39" s="554"/>
      <c r="J39" s="554"/>
      <c r="K39" s="554"/>
      <c r="L39" s="554"/>
      <c r="N39" s="46"/>
      <c r="O39" s="46"/>
      <c r="P39" s="46"/>
    </row>
    <row r="40" spans="2:16" ht="13" x14ac:dyDescent="0.3">
      <c r="B40" s="402" t="str">
        <f>TEXT(EOMONTH($C$24,7),"mmmmmmmmmm")</f>
        <v>August</v>
      </c>
      <c r="C40" s="35"/>
      <c r="D40" s="403"/>
      <c r="E40" s="535">
        <f>VLOOKUP(B40, 'XIV. Reference Tables'!$C$568:$D$579, 2, FALSE)</f>
        <v>31</v>
      </c>
      <c r="F40" s="328"/>
      <c r="G40" s="404">
        <f t="shared" si="1"/>
        <v>0</v>
      </c>
      <c r="H40" s="1" t="b">
        <f t="shared" si="0"/>
        <v>0</v>
      </c>
      <c r="I40" s="554"/>
      <c r="J40" s="554"/>
      <c r="K40" s="554"/>
      <c r="L40" s="554"/>
      <c r="N40" s="46"/>
      <c r="O40" s="46"/>
      <c r="P40" s="46"/>
    </row>
    <row r="41" spans="2:16" ht="13" x14ac:dyDescent="0.3">
      <c r="B41" s="402" t="str">
        <f>TEXT(EOMONTH($C$24,8),"mmmmmmmmmm")</f>
        <v>September</v>
      </c>
      <c r="C41" s="35"/>
      <c r="D41" s="403"/>
      <c r="E41" s="535">
        <f>VLOOKUP(B41, 'XIV. Reference Tables'!$C$568:$D$579, 2, FALSE)</f>
        <v>30</v>
      </c>
      <c r="F41" s="328"/>
      <c r="G41" s="404">
        <f t="shared" si="1"/>
        <v>0</v>
      </c>
      <c r="H41" s="1" t="b">
        <f t="shared" si="0"/>
        <v>0</v>
      </c>
      <c r="I41" s="554"/>
      <c r="J41" s="554"/>
      <c r="K41" s="554"/>
      <c r="L41" s="554"/>
      <c r="N41" s="46"/>
      <c r="O41" s="46"/>
      <c r="P41" s="46"/>
    </row>
    <row r="42" spans="2:16" ht="13" x14ac:dyDescent="0.3">
      <c r="B42" s="402" t="str">
        <f>TEXT(EOMONTH($C$24,9),"mmmmmmmmmm")</f>
        <v>October</v>
      </c>
      <c r="C42" s="35"/>
      <c r="D42" s="403"/>
      <c r="E42" s="535">
        <f>VLOOKUP(B42, 'XIV. Reference Tables'!$C$568:$D$579, 2, FALSE)</f>
        <v>31</v>
      </c>
      <c r="F42" s="328"/>
      <c r="G42" s="404">
        <f t="shared" si="1"/>
        <v>0</v>
      </c>
      <c r="H42" s="1" t="b">
        <f t="shared" si="0"/>
        <v>0</v>
      </c>
      <c r="I42" s="554"/>
      <c r="J42" s="554"/>
      <c r="K42" s="554"/>
      <c r="L42" s="554"/>
      <c r="N42" s="46"/>
      <c r="O42" s="46"/>
      <c r="P42" s="46"/>
    </row>
    <row r="43" spans="2:16" ht="13" x14ac:dyDescent="0.3">
      <c r="B43" s="402" t="str">
        <f>TEXT(EOMONTH($C$24,10),"mmmmmmmmmm")</f>
        <v>November</v>
      </c>
      <c r="C43" s="35"/>
      <c r="D43" s="403"/>
      <c r="E43" s="535">
        <f>VLOOKUP(B43, 'XIV. Reference Tables'!$C$568:$D$579, 2, FALSE)</f>
        <v>30</v>
      </c>
      <c r="F43" s="328"/>
      <c r="G43" s="404">
        <f t="shared" si="1"/>
        <v>0</v>
      </c>
      <c r="H43" s="1" t="b">
        <f t="shared" si="0"/>
        <v>0</v>
      </c>
      <c r="I43" s="554"/>
      <c r="J43" s="554"/>
      <c r="K43" s="554"/>
      <c r="L43" s="554"/>
      <c r="N43" s="46"/>
      <c r="O43" s="46"/>
      <c r="P43" s="46"/>
    </row>
    <row r="44" spans="2:16" ht="13" x14ac:dyDescent="0.3">
      <c r="B44" s="402" t="str">
        <f>TEXT(EOMONTH($C$24,11),"mmmmmmmmmm")</f>
        <v>December</v>
      </c>
      <c r="C44" s="35"/>
      <c r="D44" s="403"/>
      <c r="E44" s="535">
        <f>VLOOKUP(B44, 'XIV. Reference Tables'!$C$568:$D$579, 2, FALSE)</f>
        <v>31</v>
      </c>
      <c r="F44" s="328"/>
      <c r="G44" s="404">
        <f t="shared" si="1"/>
        <v>0</v>
      </c>
      <c r="H44" s="1" t="b">
        <f t="shared" si="0"/>
        <v>0</v>
      </c>
      <c r="I44" s="554"/>
      <c r="J44" s="554"/>
      <c r="K44" s="554"/>
      <c r="L44" s="554"/>
      <c r="N44" s="46"/>
      <c r="O44" s="46"/>
      <c r="P44" s="46"/>
    </row>
    <row r="45" spans="2:16" ht="13" x14ac:dyDescent="0.3">
      <c r="B45" s="3"/>
      <c r="C45" s="103"/>
      <c r="F45" s="4" t="s">
        <v>202</v>
      </c>
      <c r="G45" s="407">
        <f>SUM(G33:G44)</f>
        <v>0</v>
      </c>
      <c r="M45" s="13"/>
    </row>
    <row r="46" spans="2:16" ht="13" x14ac:dyDescent="0.3">
      <c r="B46" s="3"/>
      <c r="C46" s="4"/>
      <c r="D46" s="100"/>
      <c r="G46" s="13"/>
    </row>
    <row r="47" spans="2:16" s="92" customFormat="1" ht="15.75" customHeight="1" x14ac:dyDescent="0.35">
      <c r="B47" s="88" t="s">
        <v>203</v>
      </c>
      <c r="C47" s="102"/>
      <c r="D47" s="102"/>
      <c r="E47" s="102"/>
      <c r="F47" s="102"/>
      <c r="G47" s="102"/>
      <c r="H47" s="102"/>
      <c r="I47" s="102"/>
      <c r="J47" s="102"/>
      <c r="K47" s="102"/>
      <c r="L47" s="102"/>
      <c r="M47" s="102"/>
    </row>
    <row r="48" spans="2:16" ht="56.25" customHeight="1" thickBot="1" x14ac:dyDescent="0.3">
      <c r="B48" s="555" t="s">
        <v>204</v>
      </c>
      <c r="C48" s="555"/>
      <c r="D48" s="555"/>
      <c r="E48" s="555"/>
    </row>
    <row r="49" spans="2:13" ht="13.5" thickBot="1" x14ac:dyDescent="0.35">
      <c r="B49" s="567" t="s">
        <v>205</v>
      </c>
      <c r="C49" s="567"/>
      <c r="D49" s="567"/>
      <c r="F49" s="104" t="s">
        <v>206</v>
      </c>
      <c r="M49" s="13"/>
    </row>
    <row r="50" spans="2:13" s="46" customFormat="1" ht="15" x14ac:dyDescent="0.4">
      <c r="B50" s="128" t="s">
        <v>207</v>
      </c>
      <c r="C50" s="372" t="s">
        <v>131</v>
      </c>
      <c r="D50" s="128" t="s">
        <v>208</v>
      </c>
      <c r="F50" s="105" t="s">
        <v>209</v>
      </c>
    </row>
    <row r="51" spans="2:13" x14ac:dyDescent="0.25">
      <c r="B51" s="140" t="s">
        <v>210</v>
      </c>
      <c r="C51" s="397" t="s">
        <v>211</v>
      </c>
      <c r="D51" s="35"/>
      <c r="F51" s="106" t="s">
        <v>212</v>
      </c>
      <c r="J51" s="13"/>
      <c r="K51" s="13"/>
      <c r="L51" s="13"/>
      <c r="M51" s="13"/>
    </row>
    <row r="52" spans="2:13" x14ac:dyDescent="0.25">
      <c r="B52" s="140" t="s">
        <v>213</v>
      </c>
      <c r="C52" s="397" t="s">
        <v>211</v>
      </c>
      <c r="D52" s="397"/>
      <c r="F52" s="106" t="s">
        <v>211</v>
      </c>
      <c r="J52" s="13"/>
      <c r="K52" s="13"/>
      <c r="L52" s="13"/>
      <c r="M52" s="13"/>
    </row>
    <row r="53" spans="2:13" x14ac:dyDescent="0.25">
      <c r="B53" s="140" t="s">
        <v>214</v>
      </c>
      <c r="C53" s="397"/>
      <c r="D53" s="35"/>
      <c r="F53" s="106" t="s">
        <v>215</v>
      </c>
      <c r="J53" s="13"/>
      <c r="K53" s="13"/>
      <c r="L53" s="13"/>
      <c r="M53" s="13"/>
    </row>
    <row r="54" spans="2:13" x14ac:dyDescent="0.25">
      <c r="B54" s="140" t="s">
        <v>216</v>
      </c>
      <c r="C54" s="397"/>
      <c r="D54" s="397"/>
      <c r="F54" s="106" t="s">
        <v>217</v>
      </c>
      <c r="J54" s="13"/>
      <c r="K54" s="13"/>
      <c r="L54" s="13"/>
      <c r="M54" s="13"/>
    </row>
    <row r="55" spans="2:13" x14ac:dyDescent="0.25">
      <c r="B55" s="140" t="s">
        <v>218</v>
      </c>
      <c r="C55" s="397"/>
      <c r="D55" s="397"/>
      <c r="F55" s="106" t="s">
        <v>219</v>
      </c>
      <c r="J55" s="13"/>
      <c r="K55" s="13"/>
      <c r="L55" s="13"/>
      <c r="M55" s="13"/>
    </row>
    <row r="56" spans="2:13" x14ac:dyDescent="0.25">
      <c r="B56" s="140" t="s">
        <v>220</v>
      </c>
      <c r="C56" s="397"/>
      <c r="D56" s="397"/>
      <c r="F56" s="106" t="s">
        <v>221</v>
      </c>
      <c r="J56" s="13"/>
      <c r="K56" s="13"/>
      <c r="L56" s="13"/>
      <c r="M56" s="13"/>
    </row>
    <row r="57" spans="2:13" x14ac:dyDescent="0.25">
      <c r="B57" s="140" t="s">
        <v>222</v>
      </c>
      <c r="C57" s="397"/>
      <c r="D57" s="397"/>
      <c r="F57" s="106" t="s">
        <v>223</v>
      </c>
      <c r="J57" s="13"/>
      <c r="K57" s="13"/>
      <c r="L57" s="13"/>
      <c r="M57" s="13"/>
    </row>
    <row r="58" spans="2:13" x14ac:dyDescent="0.25">
      <c r="B58" s="140" t="s">
        <v>224</v>
      </c>
      <c r="C58" s="397"/>
      <c r="D58" s="397"/>
      <c r="F58" s="106" t="s">
        <v>225</v>
      </c>
      <c r="J58" s="13"/>
      <c r="K58" s="13"/>
      <c r="L58" s="13"/>
      <c r="M58" s="13"/>
    </row>
    <row r="59" spans="2:13" ht="13" thickBot="1" x14ac:dyDescent="0.3">
      <c r="B59" s="140" t="s">
        <v>226</v>
      </c>
      <c r="C59" s="397"/>
      <c r="D59" s="397"/>
      <c r="F59" s="107" t="s">
        <v>227</v>
      </c>
      <c r="J59" s="13"/>
      <c r="K59" s="13"/>
      <c r="L59" s="13"/>
      <c r="M59" s="13"/>
    </row>
    <row r="60" spans="2:13" x14ac:dyDescent="0.25">
      <c r="B60" s="140" t="s">
        <v>228</v>
      </c>
      <c r="C60" s="397"/>
      <c r="D60" s="397"/>
      <c r="F60" s="13"/>
      <c r="L60" s="13"/>
      <c r="M60" s="13"/>
    </row>
    <row r="61" spans="2:13" ht="17.25" customHeight="1" x14ac:dyDescent="0.25">
      <c r="B61" s="53"/>
      <c r="C61" s="10"/>
      <c r="E61" s="53"/>
      <c r="F61" s="108"/>
      <c r="L61" s="13"/>
      <c r="M61" s="13"/>
    </row>
    <row r="62" spans="2:13" ht="15" customHeight="1" x14ac:dyDescent="0.25">
      <c r="B62" s="554" t="s">
        <v>229</v>
      </c>
      <c r="C62" s="554"/>
      <c r="D62" s="554"/>
      <c r="E62" s="554"/>
      <c r="L62" s="13"/>
      <c r="M62" s="13"/>
    </row>
    <row r="63" spans="2:13" ht="15" customHeight="1" x14ac:dyDescent="0.25">
      <c r="B63" s="554"/>
      <c r="C63" s="554"/>
      <c r="D63" s="554"/>
      <c r="E63" s="554"/>
      <c r="L63" s="13"/>
      <c r="M63" s="13"/>
    </row>
    <row r="64" spans="2:13" ht="15" customHeight="1" x14ac:dyDescent="0.25">
      <c r="B64" s="554"/>
      <c r="C64" s="554"/>
      <c r="D64" s="554"/>
      <c r="E64" s="554"/>
      <c r="L64" s="13"/>
      <c r="M64" s="13"/>
    </row>
    <row r="65" spans="2:13" ht="15" customHeight="1" x14ac:dyDescent="0.25">
      <c r="B65" s="554"/>
      <c r="C65" s="554"/>
      <c r="D65" s="554"/>
      <c r="E65" s="554"/>
      <c r="L65" s="13"/>
      <c r="M65" s="13"/>
    </row>
    <row r="66" spans="2:13" x14ac:dyDescent="0.25">
      <c r="B66" s="46"/>
      <c r="M66" s="13"/>
    </row>
    <row r="67" spans="2:13" s="92" customFormat="1" ht="15.5" x14ac:dyDescent="0.35">
      <c r="B67" s="88" t="s">
        <v>230</v>
      </c>
      <c r="C67" s="102"/>
      <c r="D67" s="102"/>
      <c r="E67" s="102"/>
      <c r="F67" s="102"/>
      <c r="G67" s="102"/>
      <c r="H67" s="102"/>
      <c r="I67" s="102"/>
      <c r="J67" s="102"/>
      <c r="K67" s="102"/>
      <c r="L67" s="102"/>
      <c r="M67" s="102"/>
    </row>
    <row r="68" spans="2:13" ht="45" customHeight="1" x14ac:dyDescent="0.25">
      <c r="B68" s="563" t="s">
        <v>231</v>
      </c>
      <c r="C68" s="563"/>
      <c r="D68" s="563"/>
      <c r="E68" s="563"/>
      <c r="F68" s="563"/>
      <c r="G68" s="563"/>
      <c r="H68" s="563"/>
    </row>
    <row r="69" spans="2:13" s="4" customFormat="1" ht="13" x14ac:dyDescent="0.3">
      <c r="B69" s="372" t="s">
        <v>195</v>
      </c>
      <c r="C69" s="337" t="s">
        <v>210</v>
      </c>
      <c r="D69" s="337" t="s">
        <v>213</v>
      </c>
      <c r="E69" s="337" t="s">
        <v>214</v>
      </c>
      <c r="F69" s="337" t="s">
        <v>216</v>
      </c>
      <c r="G69" s="337" t="s">
        <v>218</v>
      </c>
      <c r="H69" s="337" t="s">
        <v>220</v>
      </c>
      <c r="I69" s="337" t="s">
        <v>222</v>
      </c>
      <c r="J69" s="337" t="s">
        <v>224</v>
      </c>
      <c r="K69" s="337" t="s">
        <v>226</v>
      </c>
      <c r="L69" s="337" t="s">
        <v>228</v>
      </c>
      <c r="M69" s="46"/>
    </row>
    <row r="70" spans="2:13" x14ac:dyDescent="0.25">
      <c r="B70" s="392" t="str">
        <f>B33</f>
        <v>January</v>
      </c>
      <c r="C70" s="495">
        <v>1</v>
      </c>
      <c r="D70" s="495">
        <v>2</v>
      </c>
      <c r="E70" s="495"/>
      <c r="F70" s="495"/>
      <c r="G70" s="495"/>
      <c r="H70" s="495"/>
      <c r="I70" s="495"/>
      <c r="J70" s="495"/>
      <c r="K70" s="495"/>
      <c r="L70" s="495"/>
    </row>
    <row r="71" spans="2:13" x14ac:dyDescent="0.25">
      <c r="B71" s="392" t="str">
        <f t="shared" ref="B71:B81" si="2">B34</f>
        <v>February</v>
      </c>
      <c r="C71" s="495"/>
      <c r="D71" s="495"/>
      <c r="E71" s="495"/>
      <c r="F71" s="495"/>
      <c r="G71" s="495"/>
      <c r="H71" s="495"/>
      <c r="I71" s="495"/>
      <c r="J71" s="495"/>
      <c r="K71" s="495"/>
      <c r="L71" s="495"/>
    </row>
    <row r="72" spans="2:13" x14ac:dyDescent="0.25">
      <c r="B72" s="392" t="str">
        <f t="shared" si="2"/>
        <v>March</v>
      </c>
      <c r="C72" s="495"/>
      <c r="D72" s="495"/>
      <c r="E72" s="495"/>
      <c r="F72" s="495"/>
      <c r="G72" s="495"/>
      <c r="H72" s="495"/>
      <c r="I72" s="495"/>
      <c r="J72" s="495"/>
      <c r="K72" s="495"/>
      <c r="L72" s="495"/>
    </row>
    <row r="73" spans="2:13" x14ac:dyDescent="0.25">
      <c r="B73" s="392" t="str">
        <f t="shared" si="2"/>
        <v>April</v>
      </c>
      <c r="C73" s="495"/>
      <c r="D73" s="495"/>
      <c r="E73" s="495"/>
      <c r="F73" s="495"/>
      <c r="G73" s="495"/>
      <c r="H73" s="495"/>
      <c r="I73" s="495"/>
      <c r="J73" s="495"/>
      <c r="K73" s="495"/>
      <c r="L73" s="495"/>
    </row>
    <row r="74" spans="2:13" x14ac:dyDescent="0.25">
      <c r="B74" s="392" t="str">
        <f t="shared" si="2"/>
        <v>May</v>
      </c>
      <c r="C74" s="495"/>
      <c r="D74" s="495"/>
      <c r="E74" s="495"/>
      <c r="F74" s="495"/>
      <c r="G74" s="495"/>
      <c r="H74" s="495"/>
      <c r="I74" s="495"/>
      <c r="J74" s="495"/>
      <c r="K74" s="495"/>
      <c r="L74" s="495"/>
    </row>
    <row r="75" spans="2:13" x14ac:dyDescent="0.25">
      <c r="B75" s="392" t="str">
        <f t="shared" si="2"/>
        <v>June</v>
      </c>
      <c r="C75" s="495"/>
      <c r="D75" s="495"/>
      <c r="E75" s="495"/>
      <c r="F75" s="495"/>
      <c r="G75" s="495"/>
      <c r="H75" s="495"/>
      <c r="I75" s="495"/>
      <c r="J75" s="495"/>
      <c r="K75" s="495"/>
      <c r="L75" s="495"/>
    </row>
    <row r="76" spans="2:13" x14ac:dyDescent="0.25">
      <c r="B76" s="392" t="str">
        <f t="shared" si="2"/>
        <v>July</v>
      </c>
      <c r="C76" s="495"/>
      <c r="D76" s="495"/>
      <c r="E76" s="495"/>
      <c r="F76" s="495"/>
      <c r="G76" s="495"/>
      <c r="H76" s="495"/>
      <c r="I76" s="495"/>
      <c r="J76" s="495"/>
      <c r="K76" s="495"/>
      <c r="L76" s="495"/>
    </row>
    <row r="77" spans="2:13" x14ac:dyDescent="0.25">
      <c r="B77" s="392" t="str">
        <f t="shared" si="2"/>
        <v>August</v>
      </c>
      <c r="C77" s="495"/>
      <c r="D77" s="495"/>
      <c r="E77" s="495"/>
      <c r="F77" s="495"/>
      <c r="G77" s="495"/>
      <c r="H77" s="495"/>
      <c r="I77" s="495"/>
      <c r="J77" s="495"/>
      <c r="K77" s="495"/>
      <c r="L77" s="495"/>
    </row>
    <row r="78" spans="2:13" x14ac:dyDescent="0.25">
      <c r="B78" s="392" t="str">
        <f t="shared" si="2"/>
        <v>September</v>
      </c>
      <c r="C78" s="495"/>
      <c r="D78" s="495"/>
      <c r="E78" s="495"/>
      <c r="F78" s="495"/>
      <c r="G78" s="495"/>
      <c r="H78" s="495"/>
      <c r="I78" s="495"/>
      <c r="J78" s="495"/>
      <c r="K78" s="495"/>
      <c r="L78" s="495"/>
    </row>
    <row r="79" spans="2:13" x14ac:dyDescent="0.25">
      <c r="B79" s="392" t="str">
        <f t="shared" si="2"/>
        <v>October</v>
      </c>
      <c r="C79" s="495"/>
      <c r="D79" s="495"/>
      <c r="E79" s="495"/>
      <c r="F79" s="495"/>
      <c r="G79" s="495"/>
      <c r="H79" s="495"/>
      <c r="I79" s="495"/>
      <c r="J79" s="495"/>
      <c r="K79" s="495"/>
      <c r="L79" s="495"/>
    </row>
    <row r="80" spans="2:13" x14ac:dyDescent="0.25">
      <c r="B80" s="392" t="str">
        <f t="shared" si="2"/>
        <v>November</v>
      </c>
      <c r="C80" s="495"/>
      <c r="D80" s="495"/>
      <c r="E80" s="495"/>
      <c r="F80" s="495"/>
      <c r="G80" s="495"/>
      <c r="H80" s="495"/>
      <c r="I80" s="495"/>
      <c r="J80" s="495"/>
      <c r="K80" s="495"/>
      <c r="L80" s="495"/>
    </row>
    <row r="81" spans="2:15" x14ac:dyDescent="0.25">
      <c r="B81" s="392" t="str">
        <f t="shared" si="2"/>
        <v>December</v>
      </c>
      <c r="C81" s="495"/>
      <c r="D81" s="495"/>
      <c r="E81" s="495"/>
      <c r="F81" s="495"/>
      <c r="G81" s="495"/>
      <c r="H81" s="495"/>
      <c r="I81" s="495"/>
      <c r="J81" s="495"/>
      <c r="K81" s="495"/>
      <c r="L81" s="495"/>
      <c r="N81" s="46"/>
    </row>
    <row r="82" spans="2:15" ht="13" x14ac:dyDescent="0.3">
      <c r="B82" s="379" t="s">
        <v>232</v>
      </c>
      <c r="C82" s="396">
        <f>IFERROR(AVERAGE(C70:C81),0)</f>
        <v>1</v>
      </c>
      <c r="D82" s="396">
        <f t="shared" ref="D82:L82" si="3">IFERROR(AVERAGE(D70:D81),0)</f>
        <v>2</v>
      </c>
      <c r="E82" s="396">
        <f t="shared" si="3"/>
        <v>0</v>
      </c>
      <c r="F82" s="396">
        <f t="shared" si="3"/>
        <v>0</v>
      </c>
      <c r="G82" s="396">
        <f t="shared" si="3"/>
        <v>0</v>
      </c>
      <c r="H82" s="396">
        <f t="shared" si="3"/>
        <v>0</v>
      </c>
      <c r="I82" s="396">
        <f t="shared" si="3"/>
        <v>0</v>
      </c>
      <c r="J82" s="396">
        <f t="shared" si="3"/>
        <v>0</v>
      </c>
      <c r="K82" s="396">
        <f t="shared" si="3"/>
        <v>0</v>
      </c>
      <c r="L82" s="396">
        <f t="shared" si="3"/>
        <v>0</v>
      </c>
      <c r="N82" s="46"/>
      <c r="O82" s="46"/>
    </row>
    <row r="83" spans="2:15" ht="13" x14ac:dyDescent="0.3">
      <c r="B83" s="3"/>
      <c r="N83" s="46"/>
      <c r="O83" s="46"/>
    </row>
    <row r="84" spans="2:15" x14ac:dyDescent="0.25">
      <c r="B84" s="554" t="s">
        <v>229</v>
      </c>
      <c r="C84" s="554"/>
      <c r="D84" s="554"/>
      <c r="E84" s="554"/>
      <c r="F84" s="8"/>
      <c r="N84" s="46"/>
      <c r="O84" s="46"/>
    </row>
    <row r="85" spans="2:15" x14ac:dyDescent="0.25">
      <c r="B85" s="554"/>
      <c r="C85" s="554"/>
      <c r="D85" s="554"/>
      <c r="E85" s="554"/>
      <c r="F85" s="8"/>
      <c r="N85" s="46"/>
      <c r="O85" s="46"/>
    </row>
    <row r="86" spans="2:15" x14ac:dyDescent="0.25">
      <c r="B86" s="554"/>
      <c r="C86" s="554"/>
      <c r="D86" s="554"/>
      <c r="E86" s="554"/>
      <c r="F86" s="8"/>
      <c r="N86" s="46"/>
      <c r="O86" s="46"/>
    </row>
    <row r="87" spans="2:15" x14ac:dyDescent="0.25">
      <c r="B87" s="554"/>
      <c r="C87" s="554"/>
      <c r="D87" s="554"/>
      <c r="E87" s="554"/>
      <c r="F87" s="8"/>
      <c r="N87" s="46"/>
      <c r="O87" s="46"/>
    </row>
    <row r="88" spans="2:15" x14ac:dyDescent="0.25">
      <c r="B88" s="554"/>
      <c r="C88" s="554"/>
      <c r="D88" s="554"/>
      <c r="E88" s="554"/>
      <c r="F88" s="8"/>
      <c r="N88" s="46"/>
    </row>
    <row r="89" spans="2:15" ht="12.75" customHeight="1" x14ac:dyDescent="0.3">
      <c r="B89" s="109"/>
      <c r="C89" s="26"/>
      <c r="D89" s="7"/>
    </row>
    <row r="90" spans="2:15" s="92" customFormat="1" ht="20.25" customHeight="1" x14ac:dyDescent="0.35">
      <c r="B90" s="88" t="s">
        <v>233</v>
      </c>
      <c r="C90" s="2"/>
      <c r="D90" s="2"/>
      <c r="E90" s="90"/>
      <c r="F90" s="90"/>
      <c r="H90" s="110"/>
      <c r="I90" s="111"/>
      <c r="J90" s="112"/>
      <c r="K90" s="102"/>
      <c r="L90" s="102"/>
      <c r="M90" s="102"/>
    </row>
    <row r="91" spans="2:15" ht="55.5" customHeight="1" x14ac:dyDescent="0.3">
      <c r="B91" s="555" t="s">
        <v>234</v>
      </c>
      <c r="C91" s="555"/>
      <c r="D91" s="555"/>
      <c r="E91" s="10"/>
      <c r="F91" s="10"/>
      <c r="G91" s="13"/>
      <c r="H91" s="4"/>
      <c r="I91" s="113"/>
      <c r="J91" s="26"/>
    </row>
    <row r="92" spans="2:15" ht="28" x14ac:dyDescent="0.25">
      <c r="B92" s="368" t="s">
        <v>235</v>
      </c>
      <c r="C92" s="368" t="s">
        <v>236</v>
      </c>
      <c r="D92" s="368" t="s">
        <v>237</v>
      </c>
      <c r="E92" s="51"/>
      <c r="F92" s="554" t="s">
        <v>229</v>
      </c>
      <c r="G92" s="560"/>
      <c r="H92" s="560"/>
      <c r="I92" s="560"/>
      <c r="J92" s="26"/>
    </row>
    <row r="93" spans="2:15" ht="13" x14ac:dyDescent="0.25">
      <c r="B93" s="337" t="str">
        <f>B51</f>
        <v>Population 1</v>
      </c>
      <c r="C93" s="114"/>
      <c r="D93" s="410">
        <f t="shared" ref="D93:D102" si="4">C93*D51/1000</f>
        <v>0</v>
      </c>
      <c r="E93" s="51"/>
      <c r="F93" s="560"/>
      <c r="G93" s="560"/>
      <c r="H93" s="560"/>
      <c r="I93" s="560"/>
      <c r="J93" s="26"/>
    </row>
    <row r="94" spans="2:15" ht="13" x14ac:dyDescent="0.25">
      <c r="B94" s="337" t="str">
        <f t="shared" ref="B94:B102" si="5">B52</f>
        <v>Population 2</v>
      </c>
      <c r="C94" s="114"/>
      <c r="D94" s="410">
        <f t="shared" si="4"/>
        <v>0</v>
      </c>
      <c r="E94" s="51"/>
      <c r="F94" s="560"/>
      <c r="G94" s="560"/>
      <c r="H94" s="560"/>
      <c r="I94" s="560"/>
      <c r="J94" s="26"/>
    </row>
    <row r="95" spans="2:15" ht="13" x14ac:dyDescent="0.25">
      <c r="B95" s="337" t="str">
        <f t="shared" si="5"/>
        <v>Population 3</v>
      </c>
      <c r="C95" s="114"/>
      <c r="D95" s="410">
        <f t="shared" si="4"/>
        <v>0</v>
      </c>
      <c r="E95" s="51"/>
      <c r="F95" s="560"/>
      <c r="G95" s="560"/>
      <c r="H95" s="560"/>
      <c r="I95" s="560"/>
      <c r="J95" s="26"/>
    </row>
    <row r="96" spans="2:15" ht="13" x14ac:dyDescent="0.25">
      <c r="B96" s="337" t="str">
        <f t="shared" si="5"/>
        <v>Population 4</v>
      </c>
      <c r="C96" s="114"/>
      <c r="D96" s="410">
        <f t="shared" si="4"/>
        <v>0</v>
      </c>
      <c r="E96" s="51"/>
      <c r="F96" s="560"/>
      <c r="G96" s="560"/>
      <c r="H96" s="560"/>
      <c r="I96" s="560"/>
      <c r="J96" s="26"/>
    </row>
    <row r="97" spans="1:13" ht="13" x14ac:dyDescent="0.25">
      <c r="B97" s="337" t="str">
        <f t="shared" si="5"/>
        <v>Population 5</v>
      </c>
      <c r="C97" s="114"/>
      <c r="D97" s="410">
        <f t="shared" si="4"/>
        <v>0</v>
      </c>
      <c r="E97" s="51"/>
      <c r="F97" s="560"/>
      <c r="G97" s="560"/>
      <c r="H97" s="560"/>
      <c r="I97" s="560"/>
    </row>
    <row r="98" spans="1:13" ht="13" x14ac:dyDescent="0.25">
      <c r="B98" s="337" t="str">
        <f t="shared" si="5"/>
        <v>Population 6</v>
      </c>
      <c r="C98" s="114"/>
      <c r="D98" s="410">
        <f t="shared" si="4"/>
        <v>0</v>
      </c>
      <c r="E98" s="51"/>
      <c r="F98" s="560"/>
      <c r="G98" s="560"/>
      <c r="H98" s="560"/>
      <c r="I98" s="560"/>
    </row>
    <row r="99" spans="1:13" ht="13" x14ac:dyDescent="0.25">
      <c r="B99" s="337" t="str">
        <f t="shared" si="5"/>
        <v>Population 7</v>
      </c>
      <c r="C99" s="114"/>
      <c r="D99" s="410">
        <f t="shared" si="4"/>
        <v>0</v>
      </c>
      <c r="E99" s="51"/>
      <c r="F99" s="560"/>
      <c r="G99" s="560"/>
      <c r="H99" s="560"/>
      <c r="I99" s="560"/>
    </row>
    <row r="100" spans="1:13" s="46" customFormat="1" ht="13" x14ac:dyDescent="0.25">
      <c r="B100" s="337" t="str">
        <f t="shared" si="5"/>
        <v>Population 8</v>
      </c>
      <c r="C100" s="114"/>
      <c r="D100" s="410">
        <f t="shared" si="4"/>
        <v>0</v>
      </c>
      <c r="E100" s="51"/>
      <c r="F100" s="560"/>
      <c r="G100" s="560"/>
      <c r="H100" s="560"/>
      <c r="I100" s="560"/>
    </row>
    <row r="101" spans="1:13" ht="13" x14ac:dyDescent="0.25">
      <c r="B101" s="337" t="str">
        <f t="shared" si="5"/>
        <v>Population 9</v>
      </c>
      <c r="C101" s="114"/>
      <c r="D101" s="410">
        <f t="shared" si="4"/>
        <v>0</v>
      </c>
      <c r="E101" s="51"/>
      <c r="F101" s="560"/>
      <c r="G101" s="560"/>
      <c r="H101" s="560"/>
      <c r="I101" s="560"/>
    </row>
    <row r="102" spans="1:13" ht="13" x14ac:dyDescent="0.25">
      <c r="B102" s="337" t="str">
        <f t="shared" si="5"/>
        <v>Population 10</v>
      </c>
      <c r="C102" s="114"/>
      <c r="D102" s="410">
        <f t="shared" si="4"/>
        <v>0</v>
      </c>
      <c r="E102" s="13"/>
      <c r="F102" s="560"/>
      <c r="G102" s="560"/>
      <c r="H102" s="560"/>
      <c r="I102" s="560"/>
    </row>
    <row r="103" spans="1:13" x14ac:dyDescent="0.25">
      <c r="C103" s="13"/>
      <c r="D103" s="13"/>
      <c r="E103" s="13"/>
      <c r="F103" s="13"/>
      <c r="G103" s="13"/>
      <c r="H103" s="13"/>
    </row>
    <row r="104" spans="1:13" s="92" customFormat="1" ht="15.5" x14ac:dyDescent="0.35">
      <c r="B104" s="88" t="s">
        <v>238</v>
      </c>
      <c r="C104" s="115"/>
      <c r="I104" s="102"/>
      <c r="J104" s="102"/>
      <c r="K104" s="102"/>
      <c r="L104" s="102"/>
      <c r="M104" s="102"/>
    </row>
    <row r="105" spans="1:13" ht="45.75" customHeight="1" x14ac:dyDescent="0.25">
      <c r="B105" s="556" t="s">
        <v>239</v>
      </c>
      <c r="C105" s="556"/>
      <c r="D105" s="556"/>
      <c r="E105" s="13"/>
      <c r="F105" s="554" t="s">
        <v>229</v>
      </c>
      <c r="G105" s="560"/>
      <c r="H105" s="560"/>
      <c r="I105" s="560"/>
    </row>
    <row r="106" spans="1:13" ht="42" x14ac:dyDescent="0.4">
      <c r="B106" s="128" t="s">
        <v>235</v>
      </c>
      <c r="C106" s="365" t="s">
        <v>240</v>
      </c>
      <c r="D106" s="365" t="s">
        <v>241</v>
      </c>
      <c r="F106" s="560"/>
      <c r="G106" s="560"/>
      <c r="H106" s="560"/>
      <c r="I106" s="560"/>
    </row>
    <row r="107" spans="1:13" ht="13" x14ac:dyDescent="0.3">
      <c r="B107" s="337" t="str">
        <f>B51</f>
        <v>Population 1</v>
      </c>
      <c r="C107" s="388">
        <f>IFERROR(IF(NOT(ISBLANK(D107)), D107,VLOOKUP(VLOOKUP(B107, livestock_cat, 2, FALSE), 'XIV. Reference Tables'!$B$27:$D$38, 3, FALSE)),0)</f>
        <v>0.17</v>
      </c>
      <c r="D107" s="394"/>
      <c r="F107" s="560"/>
      <c r="G107" s="560"/>
      <c r="H107" s="560"/>
      <c r="I107" s="560"/>
    </row>
    <row r="108" spans="1:13" ht="13" x14ac:dyDescent="0.3">
      <c r="B108" s="337" t="str">
        <f t="shared" ref="B108:B116" si="6">B52</f>
        <v>Population 2</v>
      </c>
      <c r="C108" s="388">
        <f>IFERROR(IF(NOT(ISBLANK(D108)), D108,VLOOKUP(VLOOKUP(B108, livestock_cat, 2, FALSE), 'XIV. Reference Tables'!$B$27:$D$38, 3, FALSE)),0)</f>
        <v>0.17</v>
      </c>
      <c r="D108" s="394"/>
      <c r="F108" s="560"/>
      <c r="G108" s="560"/>
      <c r="H108" s="560"/>
      <c r="I108" s="560"/>
    </row>
    <row r="109" spans="1:13" ht="13" x14ac:dyDescent="0.3">
      <c r="B109" s="337" t="str">
        <f t="shared" si="6"/>
        <v>Population 3</v>
      </c>
      <c r="C109" s="388">
        <f>IFERROR(IF(NOT(ISBLANK(D109)), D109,VLOOKUP(VLOOKUP(B109, livestock_cat, 2, FALSE), 'XIV. Reference Tables'!$B$27:$D$38, 3, FALSE)),0)</f>
        <v>0</v>
      </c>
      <c r="D109" s="394"/>
      <c r="F109" s="560"/>
      <c r="G109" s="560"/>
      <c r="H109" s="560"/>
      <c r="I109" s="560"/>
    </row>
    <row r="110" spans="1:13" ht="13" x14ac:dyDescent="0.3">
      <c r="B110" s="337" t="str">
        <f t="shared" si="6"/>
        <v>Population 4</v>
      </c>
      <c r="C110" s="388">
        <f>IFERROR(IF(NOT(ISBLANK(D110)), D110,VLOOKUP(VLOOKUP(B110, livestock_cat, 2, FALSE), 'XIV. Reference Tables'!$B$27:$D$38, 3, FALSE)),0)</f>
        <v>0</v>
      </c>
      <c r="D110" s="394"/>
      <c r="F110" s="560"/>
      <c r="G110" s="560"/>
      <c r="H110" s="560"/>
      <c r="I110" s="560"/>
    </row>
    <row r="111" spans="1:13" ht="13" x14ac:dyDescent="0.3">
      <c r="B111" s="337" t="str">
        <f t="shared" si="6"/>
        <v>Population 5</v>
      </c>
      <c r="C111" s="388">
        <f>IFERROR(IF(NOT(ISBLANK(D111)), D111,VLOOKUP(VLOOKUP(B111, livestock_cat, 2, FALSE), 'XIV. Reference Tables'!$B$27:$D$38, 3, FALSE)),0)</f>
        <v>0</v>
      </c>
      <c r="D111" s="394"/>
      <c r="F111" s="560"/>
      <c r="G111" s="560"/>
      <c r="H111" s="560"/>
      <c r="I111" s="560"/>
    </row>
    <row r="112" spans="1:13" ht="13" x14ac:dyDescent="0.3">
      <c r="A112" s="46"/>
      <c r="B112" s="337" t="str">
        <f t="shared" si="6"/>
        <v>Population 6</v>
      </c>
      <c r="C112" s="388">
        <f>IFERROR(IF(NOT(ISBLANK(D112)), D112,VLOOKUP(VLOOKUP(B112, livestock_cat, 2, FALSE), 'XIV. Reference Tables'!$B$27:$D$38, 3, FALSE)),0)</f>
        <v>0</v>
      </c>
      <c r="D112" s="394"/>
      <c r="F112" s="560"/>
      <c r="G112" s="560"/>
      <c r="H112" s="560"/>
      <c r="I112" s="560"/>
    </row>
    <row r="113" spans="2:14" ht="13" x14ac:dyDescent="0.3">
      <c r="B113" s="337" t="str">
        <f t="shared" si="6"/>
        <v>Population 7</v>
      </c>
      <c r="C113" s="388">
        <f>IFERROR(IF(NOT(ISBLANK(D113)), D113,VLOOKUP(VLOOKUP(B113, livestock_cat, 2, FALSE), 'XIV. Reference Tables'!$B$27:$D$38, 3, FALSE)),0)</f>
        <v>0</v>
      </c>
      <c r="D113" s="394"/>
      <c r="F113" s="560"/>
      <c r="G113" s="560"/>
      <c r="H113" s="560"/>
      <c r="I113" s="560"/>
    </row>
    <row r="114" spans="2:14" ht="13" x14ac:dyDescent="0.3">
      <c r="B114" s="337" t="str">
        <f t="shared" si="6"/>
        <v>Population 8</v>
      </c>
      <c r="C114" s="388">
        <f>IFERROR(IF(NOT(ISBLANK(D114)), D114,VLOOKUP(VLOOKUP(B114, livestock_cat, 2, FALSE), 'XIV. Reference Tables'!$B$27:$D$38, 3, FALSE)),0)</f>
        <v>0</v>
      </c>
      <c r="D114" s="394"/>
      <c r="F114" s="560"/>
      <c r="G114" s="560"/>
      <c r="H114" s="560"/>
      <c r="I114" s="560"/>
    </row>
    <row r="115" spans="2:14" ht="13" x14ac:dyDescent="0.3">
      <c r="B115" s="337" t="str">
        <f t="shared" si="6"/>
        <v>Population 9</v>
      </c>
      <c r="C115" s="388">
        <f>IFERROR(IF(NOT(ISBLANK(D115)), D115,VLOOKUP(VLOOKUP(B115, livestock_cat, 2, FALSE), 'XIV. Reference Tables'!$B$27:$D$38, 3, FALSE)),0)</f>
        <v>0</v>
      </c>
      <c r="D115" s="394"/>
      <c r="F115" s="560"/>
      <c r="G115" s="560"/>
      <c r="H115" s="560"/>
      <c r="I115" s="560"/>
    </row>
    <row r="116" spans="2:14" ht="13" x14ac:dyDescent="0.3">
      <c r="B116" s="337" t="str">
        <f t="shared" si="6"/>
        <v>Population 10</v>
      </c>
      <c r="C116" s="388">
        <f>IFERROR(IF(NOT(ISBLANK(D116)), D116,VLOOKUP(VLOOKUP(B116, livestock_cat, 2, FALSE), 'XIV. Reference Tables'!$B$27:$D$38, 3, FALSE)),0)</f>
        <v>0</v>
      </c>
      <c r="D116" s="394"/>
      <c r="F116" s="560"/>
      <c r="G116" s="560"/>
      <c r="H116" s="560"/>
      <c r="I116" s="560"/>
    </row>
    <row r="117" spans="2:14" x14ac:dyDescent="0.25">
      <c r="E117" s="13"/>
      <c r="F117" s="13"/>
      <c r="G117" s="13"/>
      <c r="H117" s="13"/>
    </row>
    <row r="118" spans="2:14" s="92" customFormat="1" ht="15.5" x14ac:dyDescent="0.35">
      <c r="B118" s="88" t="s">
        <v>242</v>
      </c>
      <c r="C118" s="102"/>
      <c r="D118" s="102"/>
      <c r="I118" s="102"/>
      <c r="J118" s="102"/>
      <c r="K118" s="102"/>
      <c r="L118" s="102"/>
      <c r="M118" s="102"/>
    </row>
    <row r="119" spans="2:14" ht="57" customHeight="1" thickBot="1" x14ac:dyDescent="0.3">
      <c r="B119" s="561" t="s">
        <v>243</v>
      </c>
      <c r="C119" s="561"/>
      <c r="D119" s="562"/>
      <c r="E119" s="562"/>
      <c r="F119" s="13"/>
      <c r="G119" s="13"/>
      <c r="H119" s="554" t="s">
        <v>229</v>
      </c>
      <c r="I119" s="554"/>
      <c r="J119" s="554"/>
    </row>
    <row r="120" spans="2:14" ht="26.5" thickBot="1" x14ac:dyDescent="0.35">
      <c r="B120" s="372" t="s">
        <v>244</v>
      </c>
      <c r="C120" s="368" t="s">
        <v>245</v>
      </c>
      <c r="D120" s="139"/>
      <c r="E120" s="564" t="s">
        <v>246</v>
      </c>
      <c r="F120" s="565"/>
      <c r="H120" s="554"/>
      <c r="I120" s="554"/>
      <c r="J120" s="554"/>
      <c r="N120" s="46"/>
    </row>
    <row r="121" spans="2:14" ht="13.5" thickBot="1" x14ac:dyDescent="0.3">
      <c r="B121" s="373" t="s">
        <v>247</v>
      </c>
      <c r="C121" s="397"/>
      <c r="D121" s="116"/>
      <c r="E121" s="117" t="s">
        <v>248</v>
      </c>
      <c r="F121" s="117" t="s">
        <v>249</v>
      </c>
      <c r="G121" s="7"/>
      <c r="H121" s="554"/>
      <c r="I121" s="554"/>
      <c r="J121" s="554"/>
      <c r="N121" s="46"/>
    </row>
    <row r="122" spans="2:14" x14ac:dyDescent="0.25">
      <c r="B122" s="405"/>
      <c r="C122" s="397"/>
      <c r="D122" s="116"/>
      <c r="E122" s="118" t="s">
        <v>250</v>
      </c>
      <c r="F122" s="325" t="s">
        <v>251</v>
      </c>
      <c r="G122" s="7"/>
      <c r="H122" s="554"/>
      <c r="I122" s="554"/>
      <c r="J122" s="554"/>
      <c r="N122" s="46"/>
    </row>
    <row r="123" spans="2:14" x14ac:dyDescent="0.25">
      <c r="B123" s="51"/>
      <c r="C123" s="397"/>
      <c r="D123" s="116"/>
      <c r="E123" s="119" t="s">
        <v>252</v>
      </c>
      <c r="F123" s="322" t="s">
        <v>253</v>
      </c>
      <c r="G123" s="7"/>
      <c r="H123" s="554"/>
      <c r="I123" s="554"/>
      <c r="J123" s="554"/>
      <c r="N123" s="46"/>
    </row>
    <row r="124" spans="2:14" x14ac:dyDescent="0.25">
      <c r="B124" s="51"/>
      <c r="C124" s="397"/>
      <c r="D124" s="116"/>
      <c r="E124" s="119" t="s">
        <v>247</v>
      </c>
      <c r="F124" s="322" t="s">
        <v>254</v>
      </c>
      <c r="G124" s="7"/>
      <c r="H124" s="554"/>
      <c r="I124" s="554"/>
      <c r="J124" s="554"/>
      <c r="N124" s="46"/>
    </row>
    <row r="125" spans="2:14" x14ac:dyDescent="0.25">
      <c r="B125" s="51"/>
      <c r="C125" s="397"/>
      <c r="D125" s="116"/>
      <c r="E125" s="326"/>
      <c r="F125" s="322" t="s">
        <v>255</v>
      </c>
      <c r="G125" s="7"/>
      <c r="H125" s="554"/>
      <c r="I125" s="554"/>
      <c r="J125" s="554"/>
      <c r="N125" s="46"/>
    </row>
    <row r="126" spans="2:14" ht="25" x14ac:dyDescent="0.25">
      <c r="B126" s="51"/>
      <c r="C126" s="397"/>
      <c r="D126" s="116"/>
      <c r="E126" s="326"/>
      <c r="F126" s="322" t="s">
        <v>256</v>
      </c>
      <c r="G126" s="7"/>
      <c r="H126" s="554"/>
      <c r="I126" s="554"/>
      <c r="J126" s="554"/>
      <c r="N126" s="46"/>
    </row>
    <row r="127" spans="2:14" ht="25" x14ac:dyDescent="0.25">
      <c r="B127" s="51"/>
      <c r="C127" s="397"/>
      <c r="D127" s="116"/>
      <c r="E127" s="326"/>
      <c r="F127" s="323" t="s">
        <v>257</v>
      </c>
      <c r="H127" s="554"/>
      <c r="I127" s="554"/>
      <c r="J127" s="554"/>
      <c r="N127" s="46"/>
    </row>
    <row r="128" spans="2:14" ht="25" x14ac:dyDescent="0.25">
      <c r="B128" s="51"/>
      <c r="C128" s="397"/>
      <c r="D128" s="116"/>
      <c r="E128" s="326"/>
      <c r="F128" s="322" t="s">
        <v>258</v>
      </c>
      <c r="G128" s="7"/>
      <c r="H128" s="554"/>
      <c r="I128" s="554"/>
      <c r="J128" s="554"/>
      <c r="N128" s="46"/>
    </row>
    <row r="129" spans="2:18" ht="25" x14ac:dyDescent="0.25">
      <c r="B129" s="51"/>
      <c r="C129" s="397"/>
      <c r="D129" s="116"/>
      <c r="E129" s="326"/>
      <c r="F129" s="322" t="s">
        <v>259</v>
      </c>
      <c r="G129" s="7"/>
      <c r="H129" s="554"/>
      <c r="I129" s="554"/>
      <c r="J129" s="554"/>
      <c r="N129" s="46"/>
    </row>
    <row r="130" spans="2:18" x14ac:dyDescent="0.25">
      <c r="B130" s="51"/>
      <c r="C130" s="397"/>
      <c r="D130" s="116"/>
      <c r="E130" s="326"/>
      <c r="F130" s="322" t="s">
        <v>260</v>
      </c>
      <c r="G130" s="7"/>
      <c r="H130" s="554"/>
      <c r="I130" s="554"/>
      <c r="J130" s="554"/>
      <c r="N130" s="46"/>
    </row>
    <row r="131" spans="2:18" ht="25" x14ac:dyDescent="0.25">
      <c r="B131" s="51"/>
      <c r="C131" s="397"/>
      <c r="D131" s="116"/>
      <c r="E131" s="326"/>
      <c r="F131" s="322" t="s">
        <v>261</v>
      </c>
      <c r="G131" s="7"/>
      <c r="H131" s="554"/>
      <c r="I131" s="554"/>
      <c r="J131" s="554"/>
      <c r="N131" s="46"/>
    </row>
    <row r="132" spans="2:18" x14ac:dyDescent="0.25">
      <c r="B132" s="51"/>
      <c r="C132" s="51"/>
      <c r="D132" s="51"/>
      <c r="E132" s="326"/>
      <c r="F132" s="322" t="s">
        <v>262</v>
      </c>
      <c r="G132" s="13"/>
      <c r="H132" s="10"/>
      <c r="I132" s="10"/>
      <c r="J132" s="10"/>
      <c r="N132" s="46"/>
    </row>
    <row r="133" spans="2:18" ht="13" thickBot="1" x14ac:dyDescent="0.3">
      <c r="B133" s="51"/>
      <c r="C133" s="51"/>
      <c r="D133" s="51"/>
      <c r="E133" s="327"/>
      <c r="F133" s="324" t="s">
        <v>263</v>
      </c>
      <c r="G133" s="13"/>
      <c r="H133" s="10"/>
      <c r="I133" s="10"/>
      <c r="J133" s="10"/>
      <c r="N133" s="46"/>
    </row>
    <row r="134" spans="2:18" x14ac:dyDescent="0.25">
      <c r="B134" s="51"/>
      <c r="C134" s="51"/>
      <c r="D134" s="36"/>
      <c r="E134" s="121"/>
      <c r="F134" s="13"/>
      <c r="G134" s="10"/>
      <c r="H134" s="10"/>
      <c r="I134" s="10"/>
    </row>
    <row r="135" spans="2:18" s="92" customFormat="1" ht="15.5" x14ac:dyDescent="0.25">
      <c r="B135" s="445" t="s">
        <v>264</v>
      </c>
      <c r="C135" s="442"/>
      <c r="D135" s="443"/>
      <c r="E135" s="444"/>
      <c r="F135" s="443"/>
      <c r="G135" s="443"/>
      <c r="J135" s="102"/>
      <c r="K135" s="102"/>
      <c r="L135" s="102"/>
      <c r="M135" s="102"/>
    </row>
    <row r="136" spans="2:18" ht="30" customHeight="1" x14ac:dyDescent="0.25">
      <c r="B136" s="558" t="s">
        <v>265</v>
      </c>
      <c r="C136" s="558"/>
      <c r="D136" s="559"/>
      <c r="E136" s="559"/>
      <c r="F136" s="559"/>
      <c r="G136" s="559"/>
      <c r="H136" s="13"/>
      <c r="R136" s="122" t="s">
        <v>266</v>
      </c>
    </row>
    <row r="137" spans="2:18" ht="26" x14ac:dyDescent="0.3">
      <c r="B137" s="365" t="s">
        <v>244</v>
      </c>
      <c r="C137" s="473" t="s">
        <v>267</v>
      </c>
      <c r="D137" s="474"/>
      <c r="E137" s="53"/>
      <c r="F137" s="53"/>
      <c r="G137" s="53"/>
      <c r="H137" s="13"/>
      <c r="I137" s="13"/>
      <c r="N137" s="46"/>
      <c r="R137" s="122" t="s">
        <v>268</v>
      </c>
    </row>
    <row r="138" spans="2:18" ht="13" x14ac:dyDescent="0.25">
      <c r="B138" s="375" t="str">
        <f>B121</f>
        <v>Liquid/Slurry w/natural crust cover</v>
      </c>
      <c r="C138" s="476" t="s">
        <v>268</v>
      </c>
      <c r="D138" s="475"/>
      <c r="E138" s="53"/>
      <c r="F138" s="53"/>
      <c r="G138" s="53"/>
      <c r="H138" s="13"/>
      <c r="I138" s="13"/>
      <c r="N138" s="46"/>
    </row>
    <row r="139" spans="2:18" ht="13" x14ac:dyDescent="0.25">
      <c r="B139" s="375">
        <f>B122</f>
        <v>0</v>
      </c>
      <c r="C139" s="476" t="s">
        <v>266</v>
      </c>
      <c r="D139" s="475"/>
      <c r="E139" s="53"/>
      <c r="F139" s="53"/>
      <c r="G139" s="53"/>
      <c r="H139" s="13"/>
      <c r="I139" s="13"/>
      <c r="N139" s="46"/>
    </row>
    <row r="140" spans="2:18" ht="13" x14ac:dyDescent="0.3">
      <c r="B140" s="3"/>
      <c r="C140" s="51"/>
      <c r="D140" s="13"/>
      <c r="E140" s="13"/>
      <c r="F140" s="13"/>
    </row>
    <row r="141" spans="2:18" ht="26" x14ac:dyDescent="0.3">
      <c r="B141" s="3"/>
      <c r="C141" s="395" t="str">
        <f>B121</f>
        <v>Liquid/Slurry w/natural crust cover</v>
      </c>
      <c r="D141" s="446">
        <f>B122</f>
        <v>0</v>
      </c>
      <c r="E141" s="13"/>
      <c r="F141" s="13"/>
    </row>
    <row r="142" spans="2:18" ht="39" x14ac:dyDescent="0.3">
      <c r="B142" s="379" t="s">
        <v>269</v>
      </c>
      <c r="C142" s="372" t="s">
        <v>270</v>
      </c>
      <c r="D142" s="372" t="s">
        <v>271</v>
      </c>
      <c r="E142" s="13"/>
      <c r="F142" s="13"/>
    </row>
    <row r="143" spans="2:18" x14ac:dyDescent="0.25">
      <c r="B143" s="392" t="str">
        <f>B33</f>
        <v>January</v>
      </c>
      <c r="C143" s="513"/>
      <c r="D143" s="513"/>
      <c r="E143" s="13"/>
      <c r="F143" s="13"/>
    </row>
    <row r="144" spans="2:18" x14ac:dyDescent="0.25">
      <c r="B144" s="392" t="str">
        <f t="shared" ref="B144:B152" si="7">B34</f>
        <v>February</v>
      </c>
      <c r="C144" s="513"/>
      <c r="D144" s="513"/>
      <c r="E144" s="13"/>
      <c r="F144" s="13"/>
    </row>
    <row r="145" spans="2:13" x14ac:dyDescent="0.25">
      <c r="B145" s="392" t="str">
        <f t="shared" si="7"/>
        <v>March</v>
      </c>
      <c r="C145" s="513"/>
      <c r="D145" s="513"/>
      <c r="E145" s="13"/>
      <c r="F145" s="13"/>
    </row>
    <row r="146" spans="2:13" x14ac:dyDescent="0.25">
      <c r="B146" s="392" t="str">
        <f t="shared" si="7"/>
        <v>April</v>
      </c>
      <c r="C146" s="513"/>
      <c r="D146" s="513"/>
      <c r="E146" s="13"/>
      <c r="F146" s="13"/>
    </row>
    <row r="147" spans="2:13" x14ac:dyDescent="0.25">
      <c r="B147" s="392" t="str">
        <f t="shared" si="7"/>
        <v>May</v>
      </c>
      <c r="C147" s="513"/>
      <c r="D147" s="513"/>
      <c r="E147" s="13"/>
      <c r="F147" s="13"/>
    </row>
    <row r="148" spans="2:13" x14ac:dyDescent="0.25">
      <c r="B148" s="392" t="str">
        <f t="shared" si="7"/>
        <v>June</v>
      </c>
      <c r="C148" s="513"/>
      <c r="D148" s="513"/>
      <c r="E148" s="13"/>
      <c r="F148" s="13"/>
    </row>
    <row r="149" spans="2:13" x14ac:dyDescent="0.25">
      <c r="B149" s="392" t="str">
        <f t="shared" si="7"/>
        <v>July</v>
      </c>
      <c r="C149" s="513"/>
      <c r="D149" s="513"/>
      <c r="E149" s="13"/>
      <c r="F149" s="13"/>
    </row>
    <row r="150" spans="2:13" x14ac:dyDescent="0.25">
      <c r="B150" s="392" t="str">
        <f t="shared" si="7"/>
        <v>August</v>
      </c>
      <c r="C150" s="513"/>
      <c r="D150" s="513"/>
      <c r="E150" s="13"/>
      <c r="F150" s="13"/>
    </row>
    <row r="151" spans="2:13" x14ac:dyDescent="0.25">
      <c r="B151" s="392" t="str">
        <f t="shared" si="7"/>
        <v>September</v>
      </c>
      <c r="C151" s="513"/>
      <c r="D151" s="513"/>
      <c r="E151" s="13"/>
      <c r="F151" s="13"/>
    </row>
    <row r="152" spans="2:13" x14ac:dyDescent="0.25">
      <c r="B152" s="392" t="str">
        <f t="shared" si="7"/>
        <v>October</v>
      </c>
      <c r="C152" s="513"/>
      <c r="D152" s="513"/>
      <c r="E152" s="13"/>
      <c r="F152" s="13"/>
    </row>
    <row r="153" spans="2:13" x14ac:dyDescent="0.25">
      <c r="B153" s="392" t="str">
        <f>B43</f>
        <v>November</v>
      </c>
      <c r="C153" s="513"/>
      <c r="D153" s="513"/>
      <c r="E153" s="13"/>
      <c r="F153" s="13"/>
    </row>
    <row r="154" spans="2:13" x14ac:dyDescent="0.25">
      <c r="B154" s="392" t="str">
        <f>B44</f>
        <v>December</v>
      </c>
      <c r="C154" s="513"/>
      <c r="D154" s="513"/>
      <c r="E154" s="13"/>
      <c r="F154" s="13"/>
    </row>
    <row r="155" spans="2:13" x14ac:dyDescent="0.25">
      <c r="C155" s="51"/>
      <c r="E155" s="13"/>
      <c r="F155" s="13"/>
    </row>
    <row r="156" spans="2:13" s="92" customFormat="1" ht="27" customHeight="1" x14ac:dyDescent="0.25">
      <c r="B156" s="295" t="s">
        <v>272</v>
      </c>
      <c r="C156" s="102"/>
      <c r="D156" s="102"/>
      <c r="F156" s="91"/>
      <c r="G156" s="102"/>
      <c r="H156" s="102"/>
      <c r="I156" s="102"/>
      <c r="J156" s="102"/>
      <c r="K156" s="102"/>
      <c r="L156" s="102"/>
      <c r="M156" s="102"/>
    </row>
    <row r="157" spans="2:13" ht="70.5" customHeight="1" x14ac:dyDescent="0.25">
      <c r="B157" s="555" t="s">
        <v>273</v>
      </c>
      <c r="C157" s="555"/>
      <c r="D157" s="555"/>
      <c r="F157" s="123"/>
      <c r="M157" s="13"/>
    </row>
    <row r="158" spans="2:13" ht="30.75" customHeight="1" x14ac:dyDescent="0.25">
      <c r="B158" s="368" t="s">
        <v>245</v>
      </c>
      <c r="C158" s="368" t="s">
        <v>274</v>
      </c>
      <c r="E158" s="554" t="s">
        <v>229</v>
      </c>
      <c r="F158" s="554"/>
      <c r="G158" s="554"/>
      <c r="H158" s="554"/>
      <c r="M158" s="13"/>
    </row>
    <row r="159" spans="2:13" ht="13" x14ac:dyDescent="0.25">
      <c r="B159" s="395">
        <f t="shared" ref="B159:B169" si="8">C121</f>
        <v>0</v>
      </c>
      <c r="C159" s="395">
        <f>IF(B159&gt;0, VLOOKUP(B159, 'XIV. Reference Tables'!$B$430:$U$446, MATCH('III. Data Inputs-BE'!$C$20, 'XIV. Reference Tables'!$B$430:$U$430), FALSE), 0)</f>
        <v>0</v>
      </c>
      <c r="E159" s="554"/>
      <c r="F159" s="554"/>
      <c r="G159" s="554"/>
      <c r="H159" s="554"/>
      <c r="M159" s="13"/>
    </row>
    <row r="160" spans="2:13" ht="13" x14ac:dyDescent="0.25">
      <c r="B160" s="395">
        <f t="shared" si="8"/>
        <v>0</v>
      </c>
      <c r="C160" s="395">
        <f>IF(B160&gt;0, VLOOKUP(B160, 'XIV. Reference Tables'!$B$430:$U$446, MATCH('III. Data Inputs-BE'!$C$20, 'XIV. Reference Tables'!$B$430:$U$430), FALSE), 0)</f>
        <v>0</v>
      </c>
      <c r="E160" s="554"/>
      <c r="F160" s="554"/>
      <c r="G160" s="554"/>
      <c r="H160" s="554"/>
      <c r="M160" s="13"/>
    </row>
    <row r="161" spans="2:13" ht="13" x14ac:dyDescent="0.25">
      <c r="B161" s="395">
        <f t="shared" si="8"/>
        <v>0</v>
      </c>
      <c r="C161" s="395">
        <f>IF(B161&gt;0, VLOOKUP(B161, 'XIV. Reference Tables'!$B$430:$U$446, MATCH('III. Data Inputs-BE'!$C$20, 'XIV. Reference Tables'!$B$430:$U$430), FALSE), 0)</f>
        <v>0</v>
      </c>
      <c r="E161" s="554"/>
      <c r="F161" s="554"/>
      <c r="G161" s="554"/>
      <c r="H161" s="554"/>
      <c r="M161" s="13"/>
    </row>
    <row r="162" spans="2:13" ht="13" x14ac:dyDescent="0.25">
      <c r="B162" s="395">
        <f t="shared" si="8"/>
        <v>0</v>
      </c>
      <c r="C162" s="395">
        <f>IF(B162&gt;0, VLOOKUP(B162, 'XIV. Reference Tables'!$B$430:$U$446, MATCH('III. Data Inputs-BE'!$C$20, 'XIV. Reference Tables'!$B$430:$U$430), FALSE), 0)</f>
        <v>0</v>
      </c>
      <c r="E162" s="554"/>
      <c r="F162" s="554"/>
      <c r="G162" s="554"/>
      <c r="H162" s="554"/>
      <c r="M162" s="13"/>
    </row>
    <row r="163" spans="2:13" ht="13" x14ac:dyDescent="0.25">
      <c r="B163" s="395">
        <f t="shared" si="8"/>
        <v>0</v>
      </c>
      <c r="C163" s="395">
        <f>IF(B163&gt;0, VLOOKUP(B163, 'XIV. Reference Tables'!$B$430:$U$446, MATCH('III. Data Inputs-BE'!$C$20, 'XIV. Reference Tables'!$B$430:$U$430), FALSE), 0)</f>
        <v>0</v>
      </c>
      <c r="E163" s="554"/>
      <c r="F163" s="554"/>
      <c r="G163" s="554"/>
      <c r="H163" s="554"/>
      <c r="M163" s="13"/>
    </row>
    <row r="164" spans="2:13" s="46" customFormat="1" ht="13" x14ac:dyDescent="0.25">
      <c r="B164" s="395">
        <f t="shared" si="8"/>
        <v>0</v>
      </c>
      <c r="C164" s="395">
        <f>IF(B164&gt;0, VLOOKUP(B164, 'XIV. Reference Tables'!$B$430:$U$446, MATCH('III. Data Inputs-BE'!$C$20, 'XIV. Reference Tables'!$B$430:$U$430), FALSE), 0)</f>
        <v>0</v>
      </c>
      <c r="E164" s="554"/>
      <c r="F164" s="554"/>
      <c r="G164" s="554"/>
      <c r="H164" s="554"/>
      <c r="M164" s="13"/>
    </row>
    <row r="165" spans="2:13" ht="13" x14ac:dyDescent="0.25">
      <c r="B165" s="395">
        <f t="shared" si="8"/>
        <v>0</v>
      </c>
      <c r="C165" s="395">
        <f>IF(B165&gt;0, VLOOKUP(B165, 'XIV. Reference Tables'!$B$430:$U$446, MATCH('III. Data Inputs-BE'!$C$20, 'XIV. Reference Tables'!$B$430:$U$430), FALSE), 0)</f>
        <v>0</v>
      </c>
      <c r="E165" s="554"/>
      <c r="F165" s="554"/>
      <c r="G165" s="554"/>
      <c r="H165" s="554"/>
      <c r="M165" s="13"/>
    </row>
    <row r="166" spans="2:13" ht="13" x14ac:dyDescent="0.25">
      <c r="B166" s="395">
        <f t="shared" si="8"/>
        <v>0</v>
      </c>
      <c r="C166" s="395">
        <f>IF(B166&gt;0, VLOOKUP(B166, 'XIV. Reference Tables'!$B$430:$U$446, MATCH('III. Data Inputs-BE'!$C$20, 'XIV. Reference Tables'!$B$430:$U$430), FALSE), 0)</f>
        <v>0</v>
      </c>
      <c r="E166" s="554"/>
      <c r="F166" s="554"/>
      <c r="G166" s="554"/>
      <c r="H166" s="554"/>
      <c r="M166" s="13"/>
    </row>
    <row r="167" spans="2:13" ht="13" x14ac:dyDescent="0.25">
      <c r="B167" s="395">
        <f t="shared" si="8"/>
        <v>0</v>
      </c>
      <c r="C167" s="395">
        <f>IF(B167&gt;0, VLOOKUP(B167, 'XIV. Reference Tables'!$B$430:$U$446, MATCH('III. Data Inputs-BE'!$C$20, 'XIV. Reference Tables'!$B$430:$U$430), FALSE), 0)</f>
        <v>0</v>
      </c>
      <c r="E167" s="554"/>
      <c r="F167" s="554"/>
      <c r="G167" s="554"/>
      <c r="H167" s="554"/>
      <c r="M167" s="13"/>
    </row>
    <row r="168" spans="2:13" ht="13" x14ac:dyDescent="0.25">
      <c r="B168" s="395">
        <f t="shared" si="8"/>
        <v>0</v>
      </c>
      <c r="C168" s="395">
        <f>IF(B168&gt;0, VLOOKUP(B168, 'XIV. Reference Tables'!$B$430:$U$446, MATCH('III. Data Inputs-BE'!$C$20, 'XIV. Reference Tables'!$B$430:$U$430), FALSE), 0)</f>
        <v>0</v>
      </c>
      <c r="E168" s="554"/>
      <c r="F168" s="554"/>
      <c r="G168" s="554"/>
      <c r="H168" s="554"/>
      <c r="M168" s="13"/>
    </row>
    <row r="169" spans="2:13" ht="13" x14ac:dyDescent="0.25">
      <c r="B169" s="395">
        <f t="shared" si="8"/>
        <v>0</v>
      </c>
      <c r="C169" s="395">
        <f>IF(B169&gt;0, VLOOKUP(B169, 'XIV. Reference Tables'!$B$430:$U$446, MATCH('III. Data Inputs-BE'!$C$20, 'XIV. Reference Tables'!$B$430:$U$430), FALSE), 0)</f>
        <v>0</v>
      </c>
      <c r="E169" s="554"/>
      <c r="F169" s="554"/>
      <c r="G169" s="554"/>
      <c r="H169" s="554"/>
      <c r="M169" s="13"/>
    </row>
    <row r="170" spans="2:13" x14ac:dyDescent="0.25">
      <c r="C170" s="51"/>
      <c r="M170" s="13"/>
    </row>
    <row r="171" spans="2:13" ht="37.5" customHeight="1" x14ac:dyDescent="0.25">
      <c r="B171" s="557" t="s">
        <v>275</v>
      </c>
      <c r="C171" s="557"/>
      <c r="D171" s="557"/>
      <c r="M171" s="13"/>
    </row>
    <row r="172" spans="2:13" s="92" customFormat="1" ht="29.25" customHeight="1" x14ac:dyDescent="0.25">
      <c r="B172" s="295" t="s">
        <v>276</v>
      </c>
      <c r="C172" s="91"/>
      <c r="D172" s="91"/>
      <c r="I172" s="102"/>
      <c r="J172" s="102"/>
      <c r="K172" s="102"/>
      <c r="L172" s="102"/>
    </row>
    <row r="173" spans="2:13" ht="47.25" customHeight="1" x14ac:dyDescent="0.25">
      <c r="B173" s="566" t="s">
        <v>277</v>
      </c>
      <c r="C173" s="566"/>
      <c r="D173" s="566"/>
      <c r="E173" s="566"/>
      <c r="F173" s="566"/>
      <c r="G173" s="566"/>
      <c r="H173" s="13"/>
      <c r="M173" s="53"/>
    </row>
    <row r="174" spans="2:13" ht="13" x14ac:dyDescent="0.25">
      <c r="B174" s="372" t="s">
        <v>278</v>
      </c>
      <c r="C174" s="337" t="s">
        <v>210</v>
      </c>
      <c r="D174" s="337" t="s">
        <v>213</v>
      </c>
      <c r="E174" s="337" t="s">
        <v>214</v>
      </c>
      <c r="F174" s="337" t="s">
        <v>216</v>
      </c>
      <c r="G174" s="337" t="s">
        <v>218</v>
      </c>
      <c r="H174" s="337" t="s">
        <v>220</v>
      </c>
      <c r="I174" s="337" t="s">
        <v>222</v>
      </c>
      <c r="J174" s="337" t="s">
        <v>224</v>
      </c>
      <c r="K174" s="337" t="s">
        <v>226</v>
      </c>
      <c r="L174" s="337" t="s">
        <v>228</v>
      </c>
      <c r="M174" s="53"/>
    </row>
    <row r="175" spans="2:13" ht="13" x14ac:dyDescent="0.25">
      <c r="B175" s="374" t="str">
        <f>B121</f>
        <v>Liquid/Slurry w/natural crust cover</v>
      </c>
      <c r="C175" s="35"/>
      <c r="D175" s="35"/>
      <c r="E175" s="35"/>
      <c r="F175" s="35"/>
      <c r="G175" s="35"/>
      <c r="H175" s="35"/>
      <c r="I175" s="35"/>
      <c r="J175" s="35"/>
      <c r="K175" s="35"/>
      <c r="L175" s="35"/>
      <c r="M175" s="53"/>
    </row>
    <row r="176" spans="2:13" ht="13" x14ac:dyDescent="0.25">
      <c r="B176" s="374">
        <f>B122</f>
        <v>0</v>
      </c>
      <c r="C176" s="35"/>
      <c r="D176" s="35"/>
      <c r="E176" s="35"/>
      <c r="F176" s="35"/>
      <c r="G176" s="35"/>
      <c r="H176" s="35"/>
      <c r="I176" s="35"/>
      <c r="J176" s="35"/>
      <c r="K176" s="35"/>
      <c r="L176" s="35"/>
    </row>
    <row r="177" spans="2:15" ht="13" x14ac:dyDescent="0.25">
      <c r="B177" s="54"/>
    </row>
    <row r="178" spans="2:15" ht="26" x14ac:dyDescent="0.25">
      <c r="B178" s="372" t="s">
        <v>279</v>
      </c>
      <c r="C178" s="514" t="s">
        <v>210</v>
      </c>
      <c r="D178" s="514" t="s">
        <v>213</v>
      </c>
      <c r="E178" s="514" t="s">
        <v>214</v>
      </c>
      <c r="F178" s="514" t="s">
        <v>216</v>
      </c>
      <c r="G178" s="514" t="s">
        <v>218</v>
      </c>
      <c r="H178" s="514" t="s">
        <v>220</v>
      </c>
      <c r="I178" s="514" t="s">
        <v>222</v>
      </c>
      <c r="J178" s="514" t="s">
        <v>224</v>
      </c>
      <c r="K178" s="514" t="s">
        <v>226</v>
      </c>
      <c r="L178" s="514" t="s">
        <v>228</v>
      </c>
    </row>
    <row r="179" spans="2:15" ht="13" x14ac:dyDescent="0.25">
      <c r="B179" s="374">
        <f t="shared" ref="B179:B189" si="9">C121</f>
        <v>0</v>
      </c>
      <c r="C179" s="35"/>
      <c r="D179" s="35"/>
      <c r="E179" s="35"/>
      <c r="F179" s="35"/>
      <c r="G179" s="35"/>
      <c r="H179" s="35"/>
      <c r="I179" s="35"/>
      <c r="J179" s="35"/>
      <c r="K179" s="35"/>
      <c r="L179" s="35"/>
    </row>
    <row r="180" spans="2:15" s="4" customFormat="1" ht="13" x14ac:dyDescent="0.3">
      <c r="B180" s="374">
        <f t="shared" si="9"/>
        <v>0</v>
      </c>
      <c r="C180" s="35"/>
      <c r="D180" s="35"/>
      <c r="E180" s="35"/>
      <c r="F180" s="35"/>
      <c r="G180" s="35"/>
      <c r="H180" s="35"/>
      <c r="I180" s="35"/>
      <c r="J180" s="35"/>
      <c r="K180" s="35"/>
      <c r="L180" s="35"/>
      <c r="M180" s="46"/>
      <c r="N180" s="52"/>
      <c r="O180" s="52"/>
    </row>
    <row r="181" spans="2:15" ht="13" x14ac:dyDescent="0.25">
      <c r="B181" s="374">
        <f t="shared" si="9"/>
        <v>0</v>
      </c>
      <c r="C181" s="35"/>
      <c r="D181" s="35"/>
      <c r="E181" s="35"/>
      <c r="F181" s="35"/>
      <c r="G181" s="35"/>
      <c r="H181" s="35"/>
      <c r="I181" s="35"/>
      <c r="J181" s="35"/>
      <c r="K181" s="35"/>
      <c r="L181" s="35"/>
      <c r="N181" s="53"/>
      <c r="O181" s="53"/>
    </row>
    <row r="182" spans="2:15" ht="13" x14ac:dyDescent="0.25">
      <c r="B182" s="374">
        <f t="shared" si="9"/>
        <v>0</v>
      </c>
      <c r="C182" s="35"/>
      <c r="D182" s="35"/>
      <c r="E182" s="35"/>
      <c r="F182" s="35"/>
      <c r="G182" s="35"/>
      <c r="H182" s="35"/>
      <c r="I182" s="35"/>
      <c r="J182" s="35"/>
      <c r="K182" s="35"/>
      <c r="L182" s="35"/>
      <c r="N182" s="53"/>
      <c r="O182" s="53"/>
    </row>
    <row r="183" spans="2:15" ht="13" x14ac:dyDescent="0.25">
      <c r="B183" s="374">
        <f t="shared" si="9"/>
        <v>0</v>
      </c>
      <c r="C183" s="35"/>
      <c r="D183" s="35"/>
      <c r="E183" s="35"/>
      <c r="F183" s="35"/>
      <c r="G183" s="35"/>
      <c r="H183" s="35"/>
      <c r="I183" s="35"/>
      <c r="J183" s="35"/>
      <c r="K183" s="35"/>
      <c r="L183" s="35"/>
      <c r="M183" s="47"/>
    </row>
    <row r="184" spans="2:15" s="4" customFormat="1" ht="13" x14ac:dyDescent="0.3">
      <c r="B184" s="374">
        <f t="shared" si="9"/>
        <v>0</v>
      </c>
      <c r="C184" s="35"/>
      <c r="D184" s="35"/>
      <c r="E184" s="35"/>
      <c r="F184" s="35"/>
      <c r="G184" s="35"/>
      <c r="H184" s="35"/>
      <c r="I184" s="35"/>
      <c r="J184" s="35"/>
      <c r="K184" s="35"/>
      <c r="L184" s="35"/>
      <c r="M184" s="47"/>
      <c r="N184" s="52"/>
      <c r="O184" s="52"/>
    </row>
    <row r="185" spans="2:15" ht="13" x14ac:dyDescent="0.25">
      <c r="B185" s="374">
        <f t="shared" si="9"/>
        <v>0</v>
      </c>
      <c r="C185" s="35"/>
      <c r="D185" s="35"/>
      <c r="E185" s="35"/>
      <c r="F185" s="35"/>
      <c r="G185" s="35"/>
      <c r="H185" s="35"/>
      <c r="I185" s="35"/>
      <c r="J185" s="35"/>
      <c r="K185" s="35"/>
      <c r="L185" s="35"/>
      <c r="N185" s="53"/>
      <c r="O185" s="53"/>
    </row>
    <row r="186" spans="2:15" ht="13" x14ac:dyDescent="0.25">
      <c r="B186" s="374">
        <f t="shared" si="9"/>
        <v>0</v>
      </c>
      <c r="C186" s="35"/>
      <c r="D186" s="35"/>
      <c r="E186" s="35"/>
      <c r="F186" s="35"/>
      <c r="G186" s="35"/>
      <c r="H186" s="35"/>
      <c r="I186" s="35"/>
      <c r="J186" s="35"/>
      <c r="K186" s="35"/>
      <c r="L186" s="35"/>
      <c r="N186" s="53"/>
      <c r="O186" s="53"/>
    </row>
    <row r="187" spans="2:15" ht="13" x14ac:dyDescent="0.25">
      <c r="B187" s="374">
        <f t="shared" si="9"/>
        <v>0</v>
      </c>
      <c r="C187" s="35"/>
      <c r="D187" s="35"/>
      <c r="E187" s="35"/>
      <c r="F187" s="35"/>
      <c r="G187" s="35"/>
      <c r="H187" s="35"/>
      <c r="I187" s="35"/>
      <c r="J187" s="35"/>
      <c r="K187" s="35"/>
      <c r="L187" s="35"/>
      <c r="N187" s="53"/>
      <c r="O187" s="53"/>
    </row>
    <row r="188" spans="2:15" ht="13" x14ac:dyDescent="0.25">
      <c r="B188" s="374">
        <f t="shared" si="9"/>
        <v>0</v>
      </c>
      <c r="C188" s="35"/>
      <c r="D188" s="35"/>
      <c r="E188" s="35"/>
      <c r="F188" s="35"/>
      <c r="G188" s="35"/>
      <c r="H188" s="35"/>
      <c r="I188" s="35"/>
      <c r="J188" s="35"/>
      <c r="K188" s="35"/>
      <c r="L188" s="35"/>
      <c r="N188" s="53"/>
      <c r="O188" s="53"/>
    </row>
    <row r="189" spans="2:15" ht="13" x14ac:dyDescent="0.25">
      <c r="B189" s="374">
        <f t="shared" si="9"/>
        <v>0</v>
      </c>
      <c r="C189" s="35"/>
      <c r="D189" s="35"/>
      <c r="E189" s="35"/>
      <c r="F189" s="35"/>
      <c r="G189" s="35"/>
      <c r="H189" s="35"/>
      <c r="I189" s="35"/>
      <c r="J189" s="35"/>
      <c r="K189" s="35"/>
      <c r="L189" s="35"/>
      <c r="N189" s="53"/>
      <c r="O189" s="53"/>
    </row>
    <row r="190" spans="2:15" ht="13" x14ac:dyDescent="0.3">
      <c r="B190" s="492" t="s">
        <v>280</v>
      </c>
      <c r="C190" s="493">
        <f>SUM(C175:C189)</f>
        <v>0</v>
      </c>
      <c r="D190" s="493">
        <f t="shared" ref="D190:L190" si="10">SUM(D175:D189)</f>
        <v>0</v>
      </c>
      <c r="E190" s="493">
        <f t="shared" si="10"/>
        <v>0</v>
      </c>
      <c r="F190" s="493">
        <f t="shared" si="10"/>
        <v>0</v>
      </c>
      <c r="G190" s="493">
        <f t="shared" si="10"/>
        <v>0</v>
      </c>
      <c r="H190" s="493">
        <f t="shared" si="10"/>
        <v>0</v>
      </c>
      <c r="I190" s="493">
        <f t="shared" si="10"/>
        <v>0</v>
      </c>
      <c r="J190" s="493">
        <f t="shared" si="10"/>
        <v>0</v>
      </c>
      <c r="K190" s="493">
        <f t="shared" si="10"/>
        <v>0</v>
      </c>
      <c r="L190" s="493">
        <f t="shared" si="10"/>
        <v>0</v>
      </c>
      <c r="N190" s="53"/>
      <c r="O190" s="53"/>
    </row>
    <row r="191" spans="2:15" ht="13" x14ac:dyDescent="0.25">
      <c r="B191" s="54"/>
      <c r="C191" s="53"/>
      <c r="D191" s="53"/>
      <c r="E191" s="53"/>
      <c r="F191" s="53"/>
      <c r="G191" s="53"/>
      <c r="H191" s="53"/>
      <c r="I191" s="53"/>
      <c r="J191" s="53"/>
      <c r="K191" s="53"/>
      <c r="L191" s="53"/>
      <c r="N191" s="53"/>
      <c r="O191" s="53"/>
    </row>
    <row r="192" spans="2:15" x14ac:dyDescent="0.25">
      <c r="B192" s="554" t="s">
        <v>229</v>
      </c>
      <c r="C192" s="554"/>
      <c r="D192" s="554"/>
      <c r="E192" s="554"/>
      <c r="F192" s="51"/>
      <c r="G192" s="53"/>
      <c r="H192" s="53"/>
      <c r="I192" s="53"/>
      <c r="J192" s="53"/>
      <c r="K192" s="53"/>
      <c r="L192" s="53"/>
      <c r="N192" s="53"/>
      <c r="O192" s="53"/>
    </row>
    <row r="193" spans="2:15" x14ac:dyDescent="0.25">
      <c r="B193" s="554"/>
      <c r="C193" s="554"/>
      <c r="D193" s="554"/>
      <c r="E193" s="554"/>
      <c r="F193" s="51"/>
      <c r="G193" s="53"/>
      <c r="H193" s="53"/>
      <c r="I193" s="53"/>
      <c r="J193" s="53"/>
      <c r="K193" s="53"/>
      <c r="L193" s="53"/>
      <c r="N193" s="53"/>
      <c r="O193" s="53"/>
    </row>
    <row r="194" spans="2:15" x14ac:dyDescent="0.25">
      <c r="B194" s="554"/>
      <c r="C194" s="554"/>
      <c r="D194" s="554"/>
      <c r="E194" s="554"/>
      <c r="F194" s="51"/>
      <c r="G194" s="53"/>
      <c r="H194" s="53"/>
      <c r="I194" s="53"/>
      <c r="J194" s="53"/>
      <c r="K194" s="53"/>
      <c r="L194" s="53"/>
      <c r="N194" s="53"/>
      <c r="O194" s="53"/>
    </row>
    <row r="195" spans="2:15" x14ac:dyDescent="0.25">
      <c r="B195" s="554"/>
      <c r="C195" s="554"/>
      <c r="D195" s="554"/>
      <c r="E195" s="554"/>
      <c r="F195" s="51"/>
      <c r="N195" s="53"/>
      <c r="O195" s="53"/>
    </row>
    <row r="196" spans="2:15" x14ac:dyDescent="0.25">
      <c r="B196" s="554"/>
      <c r="C196" s="554"/>
      <c r="D196" s="554"/>
      <c r="E196" s="554"/>
      <c r="N196" s="53"/>
      <c r="O196" s="53"/>
    </row>
    <row r="197" spans="2:15" x14ac:dyDescent="0.25">
      <c r="N197" s="53"/>
      <c r="O197" s="53"/>
    </row>
    <row r="198" spans="2:15" s="92" customFormat="1" ht="15.5" x14ac:dyDescent="0.35">
      <c r="B198" s="93" t="s">
        <v>281</v>
      </c>
      <c r="C198" s="112"/>
      <c r="D198" s="124"/>
      <c r="E198" s="102"/>
      <c r="F198" s="125"/>
      <c r="G198" s="102"/>
      <c r="H198" s="102"/>
      <c r="I198" s="102"/>
      <c r="J198" s="102"/>
      <c r="K198" s="102"/>
      <c r="L198" s="102"/>
      <c r="M198" s="102"/>
    </row>
    <row r="199" spans="2:15" ht="15.75" customHeight="1" x14ac:dyDescent="0.25">
      <c r="B199" s="26" t="s">
        <v>282</v>
      </c>
      <c r="C199" s="26"/>
      <c r="D199" s="27"/>
      <c r="F199" s="126"/>
      <c r="G199" s="47"/>
      <c r="H199" s="47"/>
      <c r="I199" s="47"/>
      <c r="J199" s="47"/>
      <c r="K199" s="47"/>
      <c r="L199" s="47"/>
    </row>
    <row r="200" spans="2:15" ht="13" x14ac:dyDescent="0.3">
      <c r="B200" s="100"/>
      <c r="C200" s="26"/>
      <c r="D200" s="27"/>
      <c r="F200" s="126"/>
      <c r="G200" s="47"/>
      <c r="H200" s="47"/>
      <c r="I200" s="47"/>
      <c r="J200" s="47"/>
      <c r="K200" s="47"/>
      <c r="L200" s="47"/>
    </row>
    <row r="201" spans="2:15" ht="17.25" customHeight="1" x14ac:dyDescent="0.3">
      <c r="B201" s="250" t="s">
        <v>283</v>
      </c>
      <c r="C201" s="26"/>
      <c r="D201" s="26"/>
      <c r="E201" s="13"/>
      <c r="F201" s="41"/>
      <c r="M201" s="4"/>
    </row>
    <row r="202" spans="2:15" ht="35.25" customHeight="1" thickBot="1" x14ac:dyDescent="0.3">
      <c r="B202" s="555" t="s">
        <v>284</v>
      </c>
      <c r="C202" s="555"/>
      <c r="D202" s="555"/>
      <c r="E202" s="555"/>
      <c r="F202" s="36"/>
    </row>
    <row r="203" spans="2:15" ht="15" x14ac:dyDescent="0.3">
      <c r="B203" s="369" t="s">
        <v>285</v>
      </c>
      <c r="C203" s="369" t="s">
        <v>286</v>
      </c>
      <c r="D203" s="369" t="s">
        <v>287</v>
      </c>
      <c r="E203" s="369" t="s">
        <v>288</v>
      </c>
      <c r="F203" s="57"/>
      <c r="G203" s="339" t="s">
        <v>289</v>
      </c>
      <c r="H203" s="342"/>
    </row>
    <row r="204" spans="2:15" ht="13" x14ac:dyDescent="0.3">
      <c r="B204" s="40"/>
      <c r="C204" s="40"/>
      <c r="D204" s="35"/>
      <c r="E204" s="388">
        <f>IF(ISBLANK(C204), 0, VLOOKUP(C204, 'XIV. Reference Tables'!$B$501:$D$507, 3, FALSE))</f>
        <v>0</v>
      </c>
      <c r="F204" s="41"/>
      <c r="G204" s="340" t="s">
        <v>290</v>
      </c>
      <c r="H204" s="343"/>
      <c r="M204" s="13"/>
    </row>
    <row r="205" spans="2:15" ht="13" x14ac:dyDescent="0.3">
      <c r="B205" s="40"/>
      <c r="C205" s="40"/>
      <c r="D205" s="35"/>
      <c r="E205" s="388">
        <f>IF(ISBLANK(C205), 0, VLOOKUP(C205, 'XIV. Reference Tables'!$B$501:$D$507, 3, FALSE))</f>
        <v>0</v>
      </c>
      <c r="F205" s="41"/>
      <c r="G205" s="340" t="s">
        <v>291</v>
      </c>
      <c r="H205" s="343"/>
      <c r="M205" s="4"/>
    </row>
    <row r="206" spans="2:15" s="47" customFormat="1" ht="13" x14ac:dyDescent="0.3">
      <c r="B206" s="40"/>
      <c r="C206" s="40"/>
      <c r="D206" s="35"/>
      <c r="E206" s="388">
        <f>IF(ISBLANK(C206), 0, VLOOKUP(C206, 'XIV. Reference Tables'!$B$501:$D$507, 3, FALSE))</f>
        <v>0</v>
      </c>
      <c r="F206" s="41"/>
      <c r="G206" s="340" t="s">
        <v>292</v>
      </c>
      <c r="H206" s="343"/>
      <c r="I206" s="46"/>
      <c r="J206" s="46"/>
      <c r="K206" s="46"/>
      <c r="L206" s="46"/>
      <c r="M206" s="46"/>
    </row>
    <row r="207" spans="2:15" ht="13" x14ac:dyDescent="0.3">
      <c r="B207" s="40"/>
      <c r="C207" s="40"/>
      <c r="D207" s="35"/>
      <c r="E207" s="388">
        <f>IF(ISBLANK(C207), 0, VLOOKUP(C207, 'XIV. Reference Tables'!$B$501:$D$507, 3, FALSE))</f>
        <v>0</v>
      </c>
      <c r="F207" s="41"/>
      <c r="G207" s="340" t="s">
        <v>293</v>
      </c>
      <c r="H207" s="343"/>
    </row>
    <row r="208" spans="2:15" ht="15" x14ac:dyDescent="0.25">
      <c r="B208" s="369" t="s">
        <v>285</v>
      </c>
      <c r="C208" s="369" t="s">
        <v>294</v>
      </c>
      <c r="D208" s="369" t="s">
        <v>287</v>
      </c>
      <c r="E208" s="369" t="s">
        <v>288</v>
      </c>
      <c r="F208" s="41"/>
      <c r="G208" s="340" t="s">
        <v>295</v>
      </c>
      <c r="H208" s="343"/>
    </row>
    <row r="209" spans="2:13" ht="13" thickBot="1" x14ac:dyDescent="0.3">
      <c r="B209" s="40"/>
      <c r="C209" s="40"/>
      <c r="D209" s="35"/>
      <c r="E209" s="406"/>
      <c r="F209" s="41"/>
      <c r="G209" s="341" t="s">
        <v>296</v>
      </c>
      <c r="H209" s="344"/>
    </row>
    <row r="210" spans="2:13" x14ac:dyDescent="0.25">
      <c r="B210" s="40"/>
      <c r="C210" s="40"/>
      <c r="D210" s="35"/>
      <c r="E210" s="406"/>
      <c r="F210" s="41"/>
    </row>
    <row r="211" spans="2:13" x14ac:dyDescent="0.25">
      <c r="B211" s="40"/>
      <c r="C211" s="40"/>
      <c r="D211" s="35"/>
      <c r="E211" s="406"/>
      <c r="F211" s="41"/>
    </row>
    <row r="212" spans="2:13" x14ac:dyDescent="0.25">
      <c r="B212" s="40"/>
      <c r="C212" s="40"/>
      <c r="D212" s="35"/>
      <c r="E212" s="406"/>
      <c r="F212" s="41"/>
    </row>
    <row r="213" spans="2:13" x14ac:dyDescent="0.25">
      <c r="B213" s="40"/>
      <c r="C213" s="40"/>
      <c r="D213" s="35"/>
      <c r="E213" s="406"/>
      <c r="F213" s="41"/>
    </row>
    <row r="214" spans="2:13" ht="13" x14ac:dyDescent="0.3">
      <c r="B214" s="3"/>
      <c r="C214" s="13"/>
      <c r="D214" s="13"/>
      <c r="E214" s="13"/>
      <c r="F214" s="58"/>
    </row>
    <row r="215" spans="2:13" ht="13.5" customHeight="1" x14ac:dyDescent="0.25">
      <c r="B215" s="250" t="s">
        <v>297</v>
      </c>
      <c r="C215" s="250"/>
      <c r="D215" s="250"/>
      <c r="E215" s="250"/>
      <c r="F215" s="41"/>
    </row>
    <row r="216" spans="2:13" s="36" customFormat="1" ht="35.25" customHeight="1" x14ac:dyDescent="0.25">
      <c r="B216" s="555" t="s">
        <v>298</v>
      </c>
      <c r="C216" s="555"/>
      <c r="D216" s="555"/>
      <c r="E216" s="555"/>
      <c r="G216" s="127"/>
      <c r="H216" s="127"/>
      <c r="I216" s="127"/>
      <c r="J216" s="127"/>
      <c r="K216" s="127"/>
      <c r="L216" s="127"/>
      <c r="M216" s="127"/>
    </row>
    <row r="217" spans="2:13" ht="15" x14ac:dyDescent="0.4">
      <c r="B217" s="128" t="s">
        <v>299</v>
      </c>
      <c r="C217" s="128" t="s">
        <v>286</v>
      </c>
      <c r="D217" s="128" t="s">
        <v>300</v>
      </c>
      <c r="E217" s="128" t="s">
        <v>301</v>
      </c>
      <c r="F217" s="57"/>
    </row>
    <row r="218" spans="2:13" ht="13" x14ac:dyDescent="0.3">
      <c r="B218" s="40"/>
      <c r="C218" s="40"/>
      <c r="D218" s="35"/>
      <c r="E218" s="388">
        <f>IF(ISBLANK(C218), 0, VLOOKUP(C218, 'XIV. Reference Tables'!$B$501:$D$507, 2, FALSE))</f>
        <v>0</v>
      </c>
      <c r="F218" s="41"/>
    </row>
    <row r="219" spans="2:13" ht="13" x14ac:dyDescent="0.3">
      <c r="B219" s="40"/>
      <c r="C219" s="40"/>
      <c r="D219" s="35"/>
      <c r="E219" s="388">
        <f>IF(ISBLANK(C219), 0, VLOOKUP(C219, 'XIV. Reference Tables'!$B$501:$D$507, 2, FALSE))</f>
        <v>0</v>
      </c>
      <c r="F219" s="41"/>
      <c r="G219" s="4"/>
      <c r="H219" s="4"/>
      <c r="I219" s="4"/>
      <c r="J219" s="4"/>
      <c r="K219" s="4"/>
      <c r="L219" s="4"/>
    </row>
    <row r="220" spans="2:13" ht="13" x14ac:dyDescent="0.3">
      <c r="B220" s="40"/>
      <c r="C220" s="40"/>
      <c r="D220" s="35"/>
      <c r="E220" s="388">
        <f>IF(ISBLANK(C220), 0, VLOOKUP(C220, 'XIV. Reference Tables'!$B$501:$D$507, 2, FALSE))</f>
        <v>0</v>
      </c>
      <c r="F220" s="41"/>
    </row>
    <row r="221" spans="2:13" ht="13" x14ac:dyDescent="0.3">
      <c r="B221" s="40"/>
      <c r="C221" s="40"/>
      <c r="D221" s="35"/>
      <c r="E221" s="388">
        <f>IF(ISBLANK(C221), 0, VLOOKUP(C221, 'XIV. Reference Tables'!$B$501:$D$507, 2, FALSE))</f>
        <v>0</v>
      </c>
      <c r="F221" s="41"/>
    </row>
    <row r="222" spans="2:13" ht="15" x14ac:dyDescent="0.4">
      <c r="B222" s="128" t="s">
        <v>299</v>
      </c>
      <c r="C222" s="128" t="s">
        <v>302</v>
      </c>
      <c r="D222" s="128" t="s">
        <v>300</v>
      </c>
      <c r="E222" s="128" t="s">
        <v>301</v>
      </c>
      <c r="F222" s="41"/>
    </row>
    <row r="223" spans="2:13" x14ac:dyDescent="0.25">
      <c r="B223" s="40"/>
      <c r="C223" s="40"/>
      <c r="D223" s="35"/>
      <c r="E223" s="406"/>
      <c r="F223" s="41"/>
      <c r="G223" s="13"/>
      <c r="H223" s="13"/>
      <c r="I223" s="13"/>
      <c r="J223" s="13"/>
      <c r="K223" s="13"/>
      <c r="L223" s="13"/>
    </row>
    <row r="224" spans="2:13" ht="13" x14ac:dyDescent="0.3">
      <c r="B224" s="40"/>
      <c r="C224" s="40"/>
      <c r="D224" s="35"/>
      <c r="E224" s="406"/>
      <c r="F224" s="41"/>
      <c r="G224" s="4"/>
      <c r="H224" s="4"/>
      <c r="I224" s="4"/>
      <c r="J224" s="4"/>
      <c r="K224" s="4"/>
      <c r="L224" s="4"/>
    </row>
    <row r="225" spans="1:60" x14ac:dyDescent="0.25">
      <c r="B225" s="40"/>
      <c r="C225" s="40"/>
      <c r="D225" s="35"/>
      <c r="E225" s="406"/>
      <c r="F225" s="41"/>
    </row>
    <row r="226" spans="1:60" s="4" customFormat="1" ht="13" x14ac:dyDescent="0.3">
      <c r="B226" s="40"/>
      <c r="C226" s="40"/>
      <c r="D226" s="35"/>
      <c r="E226" s="406"/>
      <c r="F226" s="41"/>
      <c r="G226" s="46"/>
      <c r="H226" s="46"/>
      <c r="I226" s="46"/>
      <c r="J226" s="46"/>
      <c r="K226" s="46"/>
      <c r="L226" s="46"/>
      <c r="M226" s="46"/>
    </row>
    <row r="227" spans="1:60" x14ac:dyDescent="0.25">
      <c r="B227" s="40"/>
      <c r="C227" s="40"/>
      <c r="D227" s="35"/>
      <c r="E227" s="406"/>
      <c r="F227" s="41"/>
    </row>
    <row r="228" spans="1:60" ht="13" x14ac:dyDescent="0.3">
      <c r="C228" s="13"/>
      <c r="D228" s="13"/>
      <c r="E228" s="13"/>
      <c r="F228" s="58"/>
    </row>
    <row r="229" spans="1:60" ht="13" x14ac:dyDescent="0.3">
      <c r="C229" s="13"/>
      <c r="D229" s="13"/>
      <c r="E229" s="13"/>
      <c r="F229" s="58"/>
    </row>
    <row r="230" spans="1:60" ht="18" customHeight="1" x14ac:dyDescent="0.3">
      <c r="B230" s="250" t="s">
        <v>303</v>
      </c>
      <c r="C230" s="100"/>
      <c r="D230" s="100"/>
      <c r="E230" s="100"/>
      <c r="F230" s="58"/>
    </row>
    <row r="231" spans="1:60" ht="70.5" customHeight="1" x14ac:dyDescent="0.3">
      <c r="B231" s="556" t="s">
        <v>304</v>
      </c>
      <c r="C231" s="556"/>
      <c r="D231" s="556"/>
      <c r="E231" s="556"/>
      <c r="F231" s="59"/>
    </row>
    <row r="232" spans="1:60" s="60" customFormat="1" ht="15" x14ac:dyDescent="0.4">
      <c r="A232" s="13"/>
      <c r="B232" s="128" t="s">
        <v>305</v>
      </c>
      <c r="C232" s="128" t="s">
        <v>306</v>
      </c>
      <c r="D232" s="128" t="s">
        <v>307</v>
      </c>
      <c r="E232" s="128" t="s">
        <v>308</v>
      </c>
      <c r="F232" s="41"/>
      <c r="G232" s="46"/>
      <c r="H232" s="46"/>
      <c r="I232" s="46"/>
      <c r="J232" s="46"/>
      <c r="K232" s="46"/>
      <c r="L232" s="46"/>
      <c r="M232" s="46"/>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3"/>
      <c r="AY232" s="13"/>
      <c r="AZ232" s="13"/>
      <c r="BA232" s="13"/>
      <c r="BB232" s="13"/>
      <c r="BC232" s="13"/>
      <c r="BD232" s="13"/>
      <c r="BE232" s="13"/>
      <c r="BF232" s="13"/>
      <c r="BG232" s="13"/>
      <c r="BH232" s="13"/>
    </row>
    <row r="233" spans="1:60" s="60" customFormat="1" x14ac:dyDescent="0.25">
      <c r="A233" s="13"/>
      <c r="B233" s="35"/>
      <c r="C233" s="35"/>
      <c r="D233" s="129"/>
      <c r="E233" s="130"/>
      <c r="F233" s="41"/>
      <c r="G233" s="46"/>
      <c r="H233" s="46"/>
      <c r="I233" s="46"/>
      <c r="J233" s="46"/>
      <c r="K233" s="46"/>
      <c r="L233" s="46"/>
      <c r="M233" s="46"/>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3"/>
      <c r="AY233" s="13"/>
      <c r="AZ233" s="13"/>
      <c r="BA233" s="13"/>
      <c r="BB233" s="13"/>
      <c r="BC233" s="13"/>
      <c r="BD233" s="13"/>
      <c r="BE233" s="13"/>
      <c r="BF233" s="13"/>
      <c r="BG233" s="13"/>
      <c r="BH233" s="13"/>
    </row>
    <row r="234" spans="1:60" x14ac:dyDescent="0.25">
      <c r="B234" s="13" t="s">
        <v>309</v>
      </c>
      <c r="C234" s="13"/>
      <c r="D234" s="13"/>
      <c r="E234" s="13"/>
      <c r="F234" s="41"/>
    </row>
    <row r="235" spans="1:60" x14ac:dyDescent="0.25">
      <c r="B235" s="13" t="s">
        <v>310</v>
      </c>
      <c r="C235" s="13"/>
      <c r="D235" s="13"/>
      <c r="E235" s="13"/>
      <c r="F235" s="41"/>
    </row>
    <row r="236" spans="1:60" s="4" customFormat="1" ht="13" x14ac:dyDescent="0.3">
      <c r="B236" s="13"/>
      <c r="C236" s="46"/>
      <c r="D236" s="46"/>
      <c r="E236" s="46"/>
      <c r="F236" s="46"/>
      <c r="G236" s="46"/>
      <c r="H236" s="46"/>
      <c r="I236" s="46"/>
      <c r="J236" s="46"/>
      <c r="K236" s="46"/>
      <c r="L236" s="46"/>
      <c r="M236" s="46"/>
    </row>
    <row r="237" spans="1:60" x14ac:dyDescent="0.25">
      <c r="B237" s="554" t="s">
        <v>229</v>
      </c>
      <c r="C237" s="554"/>
      <c r="D237" s="554"/>
      <c r="E237" s="554"/>
      <c r="F237" s="51"/>
    </row>
    <row r="238" spans="1:60" x14ac:dyDescent="0.25">
      <c r="B238" s="554"/>
      <c r="C238" s="554"/>
      <c r="D238" s="554"/>
      <c r="E238" s="554"/>
      <c r="F238" s="51"/>
    </row>
    <row r="239" spans="1:60" x14ac:dyDescent="0.25">
      <c r="B239" s="554"/>
      <c r="C239" s="554"/>
      <c r="D239" s="554"/>
      <c r="E239" s="554"/>
      <c r="F239" s="51"/>
    </row>
    <row r="240" spans="1:60" x14ac:dyDescent="0.25">
      <c r="B240" s="554"/>
      <c r="C240" s="554"/>
      <c r="D240" s="554"/>
      <c r="E240" s="554"/>
      <c r="F240" s="51"/>
    </row>
    <row r="241" spans="2:9" x14ac:dyDescent="0.25">
      <c r="B241" s="554"/>
      <c r="C241" s="554"/>
      <c r="D241" s="554"/>
      <c r="E241" s="554"/>
      <c r="F241" s="51"/>
    </row>
    <row r="242" spans="2:9" x14ac:dyDescent="0.25">
      <c r="B242" s="554"/>
      <c r="C242" s="554"/>
      <c r="D242" s="554"/>
      <c r="E242" s="554"/>
      <c r="F242" s="51"/>
    </row>
    <row r="243" spans="2:9" x14ac:dyDescent="0.25">
      <c r="B243" s="554"/>
      <c r="C243" s="554"/>
      <c r="D243" s="554"/>
      <c r="E243" s="554"/>
      <c r="F243" s="51"/>
    </row>
    <row r="244" spans="2:9" x14ac:dyDescent="0.25">
      <c r="B244" s="554"/>
      <c r="C244" s="554"/>
      <c r="D244" s="554"/>
      <c r="E244" s="554"/>
      <c r="F244" s="51"/>
    </row>
    <row r="245" spans="2:9" x14ac:dyDescent="0.25">
      <c r="B245" s="554"/>
      <c r="C245" s="554"/>
      <c r="D245" s="554"/>
      <c r="E245" s="554"/>
      <c r="F245" s="51"/>
    </row>
    <row r="246" spans="2:9" x14ac:dyDescent="0.25">
      <c r="B246" s="554"/>
      <c r="C246" s="554"/>
      <c r="D246" s="554"/>
      <c r="E246" s="554"/>
      <c r="F246" s="51"/>
    </row>
    <row r="247" spans="2:9" x14ac:dyDescent="0.25">
      <c r="B247" s="554"/>
      <c r="C247" s="554"/>
      <c r="D247" s="554"/>
      <c r="E247" s="554"/>
      <c r="F247" s="51"/>
    </row>
    <row r="248" spans="2:9" x14ac:dyDescent="0.25">
      <c r="B248" s="554"/>
      <c r="C248" s="554"/>
      <c r="D248" s="554"/>
      <c r="E248" s="554"/>
      <c r="F248" s="51"/>
    </row>
    <row r="249" spans="2:9" x14ac:dyDescent="0.25">
      <c r="B249" s="554"/>
      <c r="C249" s="554"/>
      <c r="D249" s="554"/>
      <c r="E249" s="554"/>
      <c r="F249" s="51"/>
    </row>
    <row r="250" spans="2:9" x14ac:dyDescent="0.25">
      <c r="B250" s="554"/>
      <c r="C250" s="554"/>
      <c r="D250" s="554"/>
      <c r="E250" s="554"/>
      <c r="F250" s="51"/>
      <c r="G250" s="13"/>
      <c r="H250" s="13"/>
      <c r="I250" s="13"/>
    </row>
    <row r="251" spans="2:9" x14ac:dyDescent="0.25">
      <c r="B251" s="51"/>
      <c r="C251" s="51"/>
      <c r="D251" s="51"/>
      <c r="E251" s="51"/>
      <c r="F251" s="51"/>
      <c r="G251" s="13"/>
      <c r="H251" s="13"/>
      <c r="I251" s="13"/>
    </row>
    <row r="252" spans="2:9" x14ac:dyDescent="0.25">
      <c r="B252" s="51"/>
      <c r="C252" s="51"/>
      <c r="D252" s="51"/>
      <c r="E252" s="51"/>
      <c r="F252" s="51"/>
      <c r="G252" s="13"/>
      <c r="H252" s="13"/>
      <c r="I252" s="13"/>
    </row>
    <row r="253" spans="2:9" x14ac:dyDescent="0.25">
      <c r="B253" s="51"/>
      <c r="C253" s="51"/>
      <c r="D253" s="51"/>
      <c r="E253" s="51"/>
      <c r="F253" s="51"/>
      <c r="G253" s="13"/>
      <c r="H253" s="13"/>
      <c r="I253" s="13"/>
    </row>
    <row r="254" spans="2:9" x14ac:dyDescent="0.25">
      <c r="B254" s="51"/>
      <c r="C254" s="51"/>
      <c r="D254" s="51"/>
      <c r="E254" s="51"/>
      <c r="F254" s="51"/>
      <c r="G254" s="13"/>
      <c r="H254" s="13"/>
      <c r="I254" s="13"/>
    </row>
    <row r="255" spans="2:9" x14ac:dyDescent="0.25">
      <c r="B255" s="51"/>
      <c r="C255" s="51"/>
      <c r="D255" s="51"/>
      <c r="E255" s="51"/>
      <c r="F255" s="51"/>
      <c r="G255" s="13"/>
      <c r="H255" s="13"/>
      <c r="I255" s="13"/>
    </row>
    <row r="256" spans="2:9" x14ac:dyDescent="0.25">
      <c r="B256" s="51"/>
      <c r="C256" s="51"/>
      <c r="D256" s="51"/>
      <c r="E256" s="51"/>
      <c r="F256" s="51"/>
      <c r="G256" s="13"/>
      <c r="H256" s="13"/>
      <c r="I256" s="13"/>
    </row>
    <row r="257" spans="2:9" x14ac:dyDescent="0.25">
      <c r="B257" s="51"/>
      <c r="C257" s="51"/>
      <c r="D257" s="51"/>
      <c r="E257" s="51"/>
      <c r="F257" s="51"/>
      <c r="G257" s="13"/>
      <c r="H257" s="13"/>
      <c r="I257" s="13"/>
    </row>
    <row r="258" spans="2:9" x14ac:dyDescent="0.25">
      <c r="B258" s="51"/>
      <c r="C258" s="51"/>
      <c r="D258" s="51"/>
      <c r="E258" s="51"/>
      <c r="F258" s="51"/>
      <c r="G258" s="13"/>
      <c r="H258" s="13"/>
    </row>
    <row r="259" spans="2:9" x14ac:dyDescent="0.25">
      <c r="B259" s="51"/>
      <c r="C259" s="51"/>
      <c r="D259" s="51"/>
      <c r="E259" s="51"/>
      <c r="F259" s="51"/>
      <c r="G259" s="13"/>
      <c r="H259" s="13"/>
    </row>
    <row r="260" spans="2:9" x14ac:dyDescent="0.25">
      <c r="B260" s="51"/>
      <c r="C260" s="51"/>
      <c r="D260" s="51"/>
      <c r="E260" s="51"/>
      <c r="F260" s="51"/>
      <c r="G260" s="13"/>
      <c r="H260" s="13"/>
      <c r="I260" s="13"/>
    </row>
    <row r="261" spans="2:9" x14ac:dyDescent="0.25">
      <c r="B261" s="51"/>
      <c r="C261" s="51"/>
      <c r="D261" s="51"/>
      <c r="E261" s="51"/>
      <c r="F261" s="51"/>
      <c r="G261" s="13"/>
      <c r="H261" s="13"/>
      <c r="I261" s="13"/>
    </row>
    <row r="262" spans="2:9" x14ac:dyDescent="0.25">
      <c r="B262" s="51"/>
      <c r="C262" s="51"/>
      <c r="D262" s="51"/>
      <c r="E262" s="51"/>
      <c r="F262" s="51"/>
      <c r="G262" s="13"/>
      <c r="H262" s="13"/>
      <c r="I262" s="13"/>
    </row>
    <row r="263" spans="2:9" x14ac:dyDescent="0.25">
      <c r="B263" s="51"/>
      <c r="C263" s="51"/>
      <c r="D263" s="51"/>
      <c r="E263" s="51"/>
      <c r="F263" s="51"/>
      <c r="G263" s="13"/>
      <c r="H263" s="13"/>
      <c r="I263" s="13"/>
    </row>
    <row r="264" spans="2:9" x14ac:dyDescent="0.25">
      <c r="C264" s="13"/>
      <c r="D264" s="13"/>
      <c r="E264" s="13"/>
      <c r="F264" s="13"/>
      <c r="G264" s="13"/>
      <c r="H264" s="13"/>
    </row>
    <row r="265" spans="2:9" x14ac:dyDescent="0.25">
      <c r="C265" s="13"/>
      <c r="D265" s="13"/>
      <c r="E265" s="13"/>
      <c r="F265" s="13"/>
      <c r="G265" s="13"/>
      <c r="H265" s="13"/>
    </row>
    <row r="266" spans="2:9" x14ac:dyDescent="0.25">
      <c r="C266" s="13"/>
      <c r="D266" s="13"/>
      <c r="E266" s="13"/>
      <c r="F266" s="13"/>
      <c r="G266" s="13"/>
      <c r="H266" s="13"/>
      <c r="I266" s="13"/>
    </row>
    <row r="267" spans="2:9" x14ac:dyDescent="0.25">
      <c r="C267" s="13"/>
      <c r="D267" s="13"/>
      <c r="E267" s="13"/>
      <c r="F267" s="13"/>
      <c r="G267" s="13"/>
      <c r="H267" s="13"/>
      <c r="I267" s="13"/>
    </row>
    <row r="268" spans="2:9" x14ac:dyDescent="0.25">
      <c r="C268" s="13"/>
      <c r="D268" s="13"/>
      <c r="E268" s="13"/>
      <c r="F268" s="13"/>
      <c r="G268" s="13"/>
      <c r="H268" s="13"/>
      <c r="I268" s="13"/>
    </row>
    <row r="269" spans="2:9" x14ac:dyDescent="0.25">
      <c r="C269" s="13"/>
      <c r="D269" s="13"/>
      <c r="E269" s="13"/>
      <c r="F269" s="13"/>
      <c r="G269" s="13"/>
      <c r="H269" s="13"/>
      <c r="I269" s="13"/>
    </row>
    <row r="270" spans="2:9" x14ac:dyDescent="0.25">
      <c r="C270" s="13"/>
      <c r="D270" s="13"/>
      <c r="E270" s="13"/>
      <c r="F270" s="13"/>
      <c r="G270" s="13"/>
      <c r="H270" s="13"/>
      <c r="I270" s="13"/>
    </row>
    <row r="271" spans="2:9" x14ac:dyDescent="0.25">
      <c r="C271" s="13"/>
      <c r="D271" s="13"/>
      <c r="E271" s="13"/>
      <c r="F271" s="13"/>
      <c r="G271" s="13"/>
      <c r="H271" s="13"/>
      <c r="I271" s="13"/>
    </row>
    <row r="272" spans="2:9" x14ac:dyDescent="0.25">
      <c r="C272" s="13"/>
      <c r="D272" s="13"/>
      <c r="E272" s="13"/>
      <c r="F272" s="13"/>
      <c r="G272" s="13"/>
      <c r="H272" s="13"/>
      <c r="I272" s="13"/>
    </row>
    <row r="273" spans="3:9" x14ac:dyDescent="0.25">
      <c r="C273" s="13"/>
      <c r="D273" s="13"/>
      <c r="E273" s="13"/>
      <c r="F273" s="13"/>
      <c r="G273" s="13"/>
      <c r="H273" s="13"/>
    </row>
    <row r="274" spans="3:9" x14ac:dyDescent="0.25">
      <c r="C274" s="13"/>
      <c r="D274" s="13"/>
      <c r="E274" s="13"/>
      <c r="F274" s="13"/>
      <c r="G274" s="13"/>
      <c r="H274" s="13"/>
      <c r="I274" s="13"/>
    </row>
    <row r="275" spans="3:9" x14ac:dyDescent="0.25">
      <c r="C275" s="13"/>
      <c r="D275" s="13"/>
      <c r="E275" s="13"/>
      <c r="F275" s="13"/>
      <c r="G275" s="13"/>
      <c r="H275" s="13"/>
      <c r="I275" s="13"/>
    </row>
    <row r="276" spans="3:9" x14ac:dyDescent="0.25">
      <c r="C276" s="13"/>
      <c r="D276" s="13"/>
      <c r="E276" s="13"/>
      <c r="F276" s="13"/>
      <c r="G276" s="13"/>
      <c r="H276" s="13"/>
      <c r="I276" s="13"/>
    </row>
    <row r="277" spans="3:9" x14ac:dyDescent="0.25">
      <c r="C277" s="13"/>
      <c r="D277" s="13"/>
      <c r="E277" s="13"/>
      <c r="F277" s="13"/>
      <c r="G277" s="13"/>
      <c r="H277" s="13"/>
      <c r="I277" s="13"/>
    </row>
    <row r="278" spans="3:9" x14ac:dyDescent="0.25">
      <c r="C278" s="13"/>
      <c r="D278" s="13"/>
      <c r="E278" s="13"/>
      <c r="F278" s="13"/>
      <c r="G278" s="13"/>
      <c r="H278" s="13"/>
      <c r="I278" s="13"/>
    </row>
    <row r="279" spans="3:9" x14ac:dyDescent="0.25">
      <c r="C279" s="13"/>
      <c r="D279" s="13"/>
      <c r="E279" s="13"/>
      <c r="F279" s="13"/>
      <c r="G279" s="13"/>
      <c r="H279" s="13"/>
      <c r="I279" s="13"/>
    </row>
    <row r="280" spans="3:9" x14ac:dyDescent="0.25">
      <c r="C280" s="13"/>
      <c r="D280" s="13"/>
      <c r="E280" s="13"/>
      <c r="F280" s="13"/>
      <c r="G280" s="13"/>
      <c r="H280" s="13"/>
      <c r="I280" s="13"/>
    </row>
    <row r="281" spans="3:9" x14ac:dyDescent="0.25">
      <c r="C281" s="13"/>
      <c r="D281" s="13"/>
      <c r="E281" s="13"/>
      <c r="F281" s="13"/>
      <c r="G281" s="13"/>
      <c r="H281" s="13"/>
      <c r="I281" s="13"/>
    </row>
    <row r="282" spans="3:9" x14ac:dyDescent="0.25">
      <c r="C282" s="13"/>
      <c r="D282" s="13"/>
      <c r="E282" s="13"/>
      <c r="F282" s="13"/>
      <c r="G282" s="13"/>
      <c r="H282" s="13"/>
      <c r="I282" s="13"/>
    </row>
    <row r="283" spans="3:9" x14ac:dyDescent="0.25">
      <c r="C283" s="13"/>
      <c r="D283" s="13"/>
      <c r="E283" s="13"/>
      <c r="F283" s="13"/>
      <c r="G283" s="13"/>
      <c r="H283" s="13"/>
      <c r="I283" s="13"/>
    </row>
    <row r="284" spans="3:9" x14ac:dyDescent="0.25">
      <c r="C284" s="13"/>
      <c r="D284" s="13"/>
      <c r="E284" s="13"/>
      <c r="F284" s="13"/>
      <c r="G284" s="13"/>
      <c r="H284" s="13"/>
      <c r="I284" s="13"/>
    </row>
    <row r="285" spans="3:9" x14ac:dyDescent="0.25">
      <c r="C285" s="13"/>
      <c r="D285" s="13"/>
      <c r="E285" s="13"/>
      <c r="F285" s="13"/>
      <c r="G285" s="13"/>
      <c r="H285" s="13"/>
      <c r="I285" s="13"/>
    </row>
    <row r="286" spans="3:9" x14ac:dyDescent="0.25">
      <c r="C286" s="13"/>
      <c r="D286" s="13"/>
      <c r="E286" s="13"/>
      <c r="F286" s="13"/>
      <c r="G286" s="13"/>
      <c r="H286" s="13"/>
      <c r="I286" s="13"/>
    </row>
    <row r="287" spans="3:9" x14ac:dyDescent="0.25">
      <c r="C287" s="13"/>
      <c r="D287" s="13"/>
      <c r="E287" s="13"/>
      <c r="F287" s="13"/>
      <c r="G287" s="13"/>
      <c r="H287" s="13"/>
      <c r="I287" s="13"/>
    </row>
    <row r="288" spans="3:9" x14ac:dyDescent="0.25">
      <c r="C288" s="13"/>
      <c r="D288" s="13"/>
      <c r="E288" s="13"/>
      <c r="F288" s="13"/>
      <c r="G288" s="13"/>
      <c r="H288" s="13"/>
    </row>
    <row r="289" spans="3:9" x14ac:dyDescent="0.25">
      <c r="C289" s="13"/>
      <c r="D289" s="13"/>
      <c r="E289" s="13"/>
      <c r="F289" s="13"/>
      <c r="G289" s="13"/>
      <c r="H289" s="13"/>
      <c r="I289" s="13"/>
    </row>
    <row r="290" spans="3:9" x14ac:dyDescent="0.25">
      <c r="C290" s="13"/>
      <c r="D290" s="13"/>
      <c r="E290" s="13"/>
      <c r="F290" s="13"/>
      <c r="G290" s="13"/>
      <c r="H290" s="13"/>
      <c r="I290" s="13"/>
    </row>
    <row r="291" spans="3:9" x14ac:dyDescent="0.25">
      <c r="C291" s="13"/>
      <c r="D291" s="13"/>
      <c r="E291" s="13"/>
      <c r="F291" s="13"/>
      <c r="G291" s="13"/>
      <c r="H291" s="13"/>
      <c r="I291" s="13"/>
    </row>
    <row r="292" spans="3:9" x14ac:dyDescent="0.25">
      <c r="C292" s="13"/>
      <c r="D292" s="13"/>
      <c r="E292" s="13"/>
      <c r="F292" s="13"/>
      <c r="G292" s="13"/>
      <c r="H292" s="13"/>
      <c r="I292" s="13"/>
    </row>
    <row r="293" spans="3:9" x14ac:dyDescent="0.25">
      <c r="C293" s="13"/>
      <c r="D293" s="13"/>
      <c r="E293" s="13"/>
      <c r="F293" s="13"/>
      <c r="G293" s="13"/>
      <c r="H293" s="13"/>
      <c r="I293" s="13"/>
    </row>
    <row r="294" spans="3:9" x14ac:dyDescent="0.25">
      <c r="C294" s="13"/>
      <c r="D294" s="13"/>
      <c r="E294" s="13"/>
      <c r="F294" s="13"/>
      <c r="G294" s="13"/>
      <c r="H294" s="13"/>
      <c r="I294" s="13"/>
    </row>
    <row r="295" spans="3:9" x14ac:dyDescent="0.25">
      <c r="C295" s="13"/>
      <c r="D295" s="13"/>
      <c r="E295" s="13"/>
      <c r="F295" s="13"/>
      <c r="G295" s="13"/>
      <c r="H295" s="13"/>
      <c r="I295" s="13"/>
    </row>
    <row r="296" spans="3:9" x14ac:dyDescent="0.25">
      <c r="C296" s="13"/>
      <c r="D296" s="13"/>
      <c r="E296" s="13"/>
      <c r="F296" s="13"/>
      <c r="G296" s="13"/>
      <c r="H296" s="13"/>
      <c r="I296" s="13"/>
    </row>
    <row r="297" spans="3:9" x14ac:dyDescent="0.25">
      <c r="C297" s="13"/>
      <c r="D297" s="13"/>
      <c r="E297" s="13"/>
      <c r="F297" s="13"/>
      <c r="G297" s="13"/>
      <c r="H297" s="13"/>
      <c r="I297" s="13"/>
    </row>
    <row r="298" spans="3:9" x14ac:dyDescent="0.25">
      <c r="C298" s="13"/>
      <c r="D298" s="13"/>
      <c r="E298" s="13"/>
      <c r="F298" s="13"/>
      <c r="G298" s="13"/>
      <c r="H298" s="13"/>
      <c r="I298" s="13"/>
    </row>
    <row r="299" spans="3:9" x14ac:dyDescent="0.25">
      <c r="C299" s="13"/>
      <c r="D299" s="13"/>
      <c r="E299" s="13"/>
      <c r="F299" s="13"/>
      <c r="G299" s="13"/>
      <c r="H299" s="13"/>
      <c r="I299" s="13"/>
    </row>
  </sheetData>
  <sheetProtection algorithmName="SHA-512" hashValue="4D07o5zVe9W9p8NZtghEyA9OumgRXHk5EAPvKA0j8mqphIi/XjiBF3Hf82yYhBiCMoBTZS6X3ONsei09rIZPfA==" saltValue="PCqOfJlwQreVwUKbsIwSPw==" spinCount="100000" sheet="1" objects="1" scenarios="1"/>
  <protectedRanges>
    <protectedRange sqref="C18" name="Range1"/>
  </protectedRanges>
  <customSheetViews>
    <customSheetView guid="{A6F5A5FB-2E6E-47D3-842C-0D3D06DB341A}" scale="70">
      <selection activeCell="B2" sqref="B2"/>
      <rowBreaks count="2" manualBreakCount="2">
        <brk id="118" min="1" max="12" man="1"/>
        <brk id="205" min="1" max="12" man="1"/>
      </rowBreaks>
      <pageMargins left="0" right="0" top="0" bottom="0" header="0" footer="0"/>
      <printOptions horizontalCentered="1" verticalCentered="1"/>
      <pageSetup scale="35" fitToHeight="2" orientation="landscape" r:id="rId1"/>
      <headerFooter alignWithMargins="0"/>
    </customSheetView>
  </customSheetViews>
  <mergeCells count="24">
    <mergeCell ref="B31:G31"/>
    <mergeCell ref="I32:L44"/>
    <mergeCell ref="B62:E65"/>
    <mergeCell ref="B48:E48"/>
    <mergeCell ref="B49:D49"/>
    <mergeCell ref="B68:H68"/>
    <mergeCell ref="B84:E88"/>
    <mergeCell ref="H119:J131"/>
    <mergeCell ref="E120:F120"/>
    <mergeCell ref="B173:G173"/>
    <mergeCell ref="B105:D105"/>
    <mergeCell ref="E158:H169"/>
    <mergeCell ref="B237:E250"/>
    <mergeCell ref="B91:D91"/>
    <mergeCell ref="B231:E231"/>
    <mergeCell ref="B171:D171"/>
    <mergeCell ref="B202:E202"/>
    <mergeCell ref="B216:E216"/>
    <mergeCell ref="B157:D157"/>
    <mergeCell ref="B136:G136"/>
    <mergeCell ref="F92:I102"/>
    <mergeCell ref="F105:I116"/>
    <mergeCell ref="B192:E196"/>
    <mergeCell ref="B119:E119"/>
  </mergeCells>
  <phoneticPr fontId="2" type="noConversion"/>
  <conditionalFormatting sqref="C190:L190">
    <cfRule type="cellIs" dxfId="3" priority="1" operator="between">
      <formula>0.000000000001</formula>
      <formula>0.99999999999</formula>
    </cfRule>
  </conditionalFormatting>
  <dataValidations xWindow="618" yWindow="542" count="17">
    <dataValidation type="decimal" allowBlank="1" showInputMessage="1" showErrorMessage="1" error="Must enter fraction in decimal format!" prompt="Input as decimal (0-1)" sqref="G191:L194 M173:M175 N185:O197 C191:F191 C179:L189" xr:uid="{00000000-0002-0000-0200-000000000000}">
      <formula1>0</formula1>
      <formula2>1</formula2>
    </dataValidation>
    <dataValidation type="decimal" allowBlank="1" showInputMessage="1" showErrorMessage="1" error="Must enter fraction in decimal format!" prompt="Input as a decimal (0-1)." sqref="N181:O182 C175:L176" xr:uid="{00000000-0002-0000-0200-000001000000}">
      <formula1>0</formula1>
      <formula2>1</formula2>
    </dataValidation>
    <dataValidation type="list" showInputMessage="1" showErrorMessage="1" sqref="C138:C139" xr:uid="{00000000-0002-0000-0200-000002000000}">
      <formula1>$R$136:$R$137</formula1>
    </dataValidation>
    <dataValidation type="list" allowBlank="1" showInputMessage="1" showErrorMessage="1" sqref="B121:B122" xr:uid="{00000000-0002-0000-0200-000003000000}">
      <formula1>$E$122:$E$124</formula1>
    </dataValidation>
    <dataValidation type="list" allowBlank="1" showInputMessage="1" showErrorMessage="1" sqref="C26" xr:uid="{00000000-0002-0000-0200-000004000000}">
      <formula1>$B$33:$B$44</formula1>
    </dataValidation>
    <dataValidation type="date" operator="greaterThan" showInputMessage="1" showErrorMessage="1" prompt="Input date of first day of the current reporting period" sqref="C24" xr:uid="{00000000-0002-0000-0200-000005000000}">
      <formula1>36892</formula1>
    </dataValidation>
    <dataValidation showInputMessage="1" showErrorMessage="1" promptTitle="Reserve Project ID" prompt="Project ID in the format &quot;CAR###&quot;" sqref="C23" xr:uid="{00000000-0002-0000-0200-000006000000}"/>
    <dataValidation type="whole" allowBlank="1" showInputMessage="1" showErrorMessage="1" error="Enter a 0 or a 1 !" prompt="Enter a 1 if reporting emission reductions for this month, enter a 0 otherwise_x000a_" sqref="D33:D44" xr:uid="{00000000-0002-0000-0200-000007000000}">
      <formula1>0</formula1>
      <formula2>1</formula2>
    </dataValidation>
    <dataValidation allowBlank="1" sqref="G33:G44 E33:E44" xr:uid="{00000000-0002-0000-0200-000008000000}"/>
    <dataValidation type="list" allowBlank="1" showInputMessage="1" showErrorMessage="1" sqref="C121:C131" xr:uid="{00000000-0002-0000-0200-000009000000}">
      <formula1>$F$122:$F$133</formula1>
    </dataValidation>
    <dataValidation type="decimal" allowBlank="1" showErrorMessage="1" error="Enter number of days to the nearest decimal" sqref="F33:F44" xr:uid="{00000000-0002-0000-0200-00000A000000}">
      <formula1>0</formula1>
      <formula2>E33</formula2>
    </dataValidation>
    <dataValidation type="list" allowBlank="1" showInputMessage="1" showErrorMessage="1" promptTitle="Annual Temp." prompt="Select closest temperature in degrees C" sqref="C20" xr:uid="{00000000-0002-0000-0200-00000B000000}">
      <formula1>"&lt;10,11,12,13,14,15,16,17,18,19,20,21,22,23,24,25,26,27,&gt;28"</formula1>
    </dataValidation>
    <dataValidation type="list" allowBlank="1" showInputMessage="1" showErrorMessage="1" sqref="C204:C207 C218:C221" xr:uid="{00000000-0002-0000-0200-00000C000000}">
      <formula1>$G$204:$G$209</formula1>
    </dataValidation>
    <dataValidation type="list" allowBlank="1" showInputMessage="1" showErrorMessage="1" sqref="C27" xr:uid="{00000000-0002-0000-0200-00000D000000}">
      <formula1>"No,Yes"</formula1>
    </dataValidation>
    <dataValidation type="date" showInputMessage="1" showErrorMessage="1" prompt="Input date of last day of the current reporting period (reporting period may not cover more than 365 days)" sqref="C25" xr:uid="{00000000-0002-0000-0200-00000E000000}">
      <formula1>C24</formula1>
      <formula2>C24+365</formula2>
    </dataValidation>
    <dataValidation type="decimal" allowBlank="1" showInputMessage="1" showErrorMessage="1" sqref="C143:D154" xr:uid="{00000000-0002-0000-0200-00000F000000}">
      <formula1>0</formula1>
      <formula2>1</formula2>
    </dataValidation>
    <dataValidation type="list" allowBlank="1" showInputMessage="1" showErrorMessage="1" sqref="C51:C60" xr:uid="{00000000-0002-0000-0200-000010000000}">
      <formula1>$F$50:$F$59</formula1>
    </dataValidation>
  </dataValidations>
  <printOptions horizontalCentered="1" verticalCentered="1"/>
  <pageMargins left="0.25" right="0.25" top="0.25" bottom="0.25" header="0.25" footer="0.25"/>
  <pageSetup fitToHeight="2" orientation="landscape" r:id="rId2"/>
  <headerFooter alignWithMargins="0"/>
  <rowBreaks count="2" manualBreakCount="2">
    <brk id="122" min="1" max="12" man="1"/>
    <brk id="222" min="1" max="12" man="1"/>
  </rowBreaks>
  <extLst>
    <ext xmlns:x14="http://schemas.microsoft.com/office/spreadsheetml/2009/9/main" uri="{CCE6A557-97BC-4b89-ADB6-D9C93CAAB3DF}">
      <x14:dataValidations xmlns:xm="http://schemas.microsoft.com/office/excel/2006/main" xWindow="618" yWindow="542" count="3">
        <x14:dataValidation type="list" allowBlank="1" showInputMessage="1" showErrorMessage="1" xr:uid="{00000000-0002-0000-0200-000011000000}">
          <x14:formula1>
            <xm:f>'XIV. Reference Tables'!$C$513:$C$538</xm:f>
          </x14:formula1>
          <xm:sqref>B233</xm:sqref>
        </x14:dataValidation>
        <x14:dataValidation type="list" allowBlank="1" showInputMessage="1" showErrorMessage="1" prompt="Select relevant digester category" xr:uid="{00000000-0002-0000-0200-000012000000}">
          <x14:formula1>
            <xm:f>'XIV. Reference Tables'!$B$544:$B$546</xm:f>
          </x14:formula1>
          <xm:sqref>C21</xm:sqref>
        </x14:dataValidation>
        <x14:dataValidation type="list" allowBlank="1" showInputMessage="1" showErrorMessage="1" prompt="Select from list" xr:uid="{00000000-0002-0000-0200-000013000000}">
          <x14:formula1>
            <xm:f>'XIV. Reference Tables'!$B$211:$B$260</xm:f>
          </x14:formula1>
          <xm:sqref>C18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sheetPr>
  <dimension ref="A1:AO233"/>
  <sheetViews>
    <sheetView showGridLines="0" topLeftCell="A71" zoomScale="80" zoomScaleNormal="80" workbookViewId="0">
      <selection activeCell="B96" sqref="B96"/>
    </sheetView>
  </sheetViews>
  <sheetFormatPr defaultColWidth="9.1796875" defaultRowHeight="12.5" x14ac:dyDescent="0.25"/>
  <cols>
    <col min="1" max="1" width="6.453125" style="13" customWidth="1"/>
    <col min="2" max="2" width="26" style="13" customWidth="1"/>
    <col min="3" max="3" width="29.1796875" style="13" customWidth="1"/>
    <col min="4" max="4" width="22.1796875" style="13" bestFit="1" customWidth="1"/>
    <col min="5" max="5" width="32.1796875" style="13" bestFit="1" customWidth="1"/>
    <col min="6" max="6" width="32.1796875" style="13" customWidth="1"/>
    <col min="7" max="7" width="19.1796875" style="13" customWidth="1"/>
    <col min="8" max="8" width="15.453125" style="13" customWidth="1"/>
    <col min="9" max="11" width="13.1796875" style="13" bestFit="1" customWidth="1"/>
    <col min="12" max="12" width="14.453125" style="13" bestFit="1" customWidth="1"/>
    <col min="13" max="16384" width="9.1796875" style="13"/>
  </cols>
  <sheetData>
    <row r="1" spans="2:15" ht="13" x14ac:dyDescent="0.3">
      <c r="B1" s="14" t="s">
        <v>0</v>
      </c>
    </row>
    <row r="2" spans="2:15" ht="13" x14ac:dyDescent="0.3">
      <c r="B2" s="14" t="s">
        <v>116</v>
      </c>
    </row>
    <row r="3" spans="2:15" ht="21" customHeight="1" x14ac:dyDescent="0.4">
      <c r="B3" s="15" t="s">
        <v>311</v>
      </c>
    </row>
    <row r="4" spans="2:15" ht="13" x14ac:dyDescent="0.3">
      <c r="B4" s="16"/>
    </row>
    <row r="5" spans="2:15" ht="21" customHeight="1" x14ac:dyDescent="0.3">
      <c r="B5" s="3" t="s">
        <v>118</v>
      </c>
      <c r="J5" s="10"/>
      <c r="K5" s="10"/>
      <c r="L5" s="10"/>
      <c r="M5" s="10"/>
      <c r="N5" s="10"/>
    </row>
    <row r="6" spans="2:15" ht="13" x14ac:dyDescent="0.3">
      <c r="B6" s="17" t="s">
        <v>312</v>
      </c>
      <c r="C6" s="18" t="s">
        <v>173</v>
      </c>
      <c r="D6" s="19"/>
      <c r="J6" s="10"/>
      <c r="K6" s="10"/>
      <c r="L6" s="10"/>
      <c r="M6" s="10"/>
      <c r="N6" s="10"/>
    </row>
    <row r="7" spans="2:15" ht="13" x14ac:dyDescent="0.3">
      <c r="B7" s="309" t="s">
        <v>119</v>
      </c>
      <c r="C7" s="307" t="s">
        <v>174</v>
      </c>
      <c r="D7" s="310"/>
      <c r="J7" s="10"/>
      <c r="K7" s="10"/>
      <c r="L7" s="10"/>
      <c r="M7" s="10"/>
      <c r="N7" s="10"/>
    </row>
    <row r="8" spans="2:15" ht="15" customHeight="1" x14ac:dyDescent="0.3">
      <c r="B8" s="20" t="s">
        <v>175</v>
      </c>
      <c r="C8" s="21" t="s">
        <v>176</v>
      </c>
      <c r="D8" s="22"/>
      <c r="J8" s="10"/>
      <c r="K8" s="10"/>
      <c r="L8" s="10"/>
      <c r="M8" s="10"/>
      <c r="N8" s="10"/>
    </row>
    <row r="9" spans="2:15" ht="13" x14ac:dyDescent="0.3">
      <c r="B9" s="97" t="s">
        <v>121</v>
      </c>
      <c r="C9" s="98" t="s">
        <v>122</v>
      </c>
      <c r="D9" s="99"/>
      <c r="J9" s="10"/>
      <c r="K9" s="10"/>
      <c r="L9" s="10"/>
      <c r="M9" s="10"/>
      <c r="N9" s="10"/>
    </row>
    <row r="10" spans="2:15" ht="13" x14ac:dyDescent="0.3">
      <c r="B10" s="247" t="s">
        <v>179</v>
      </c>
      <c r="C10" s="248" t="s">
        <v>180</v>
      </c>
      <c r="D10" s="249"/>
      <c r="F10" s="46"/>
      <c r="G10" s="46"/>
      <c r="H10" s="46"/>
      <c r="I10" s="46"/>
      <c r="J10" s="46"/>
      <c r="K10" s="46"/>
      <c r="L10" s="46"/>
      <c r="M10" s="46"/>
    </row>
    <row r="11" spans="2:15" x14ac:dyDescent="0.25">
      <c r="C11" s="26"/>
      <c r="D11" s="27"/>
      <c r="J11" s="10"/>
      <c r="K11" s="10"/>
      <c r="L11" s="10"/>
      <c r="M11" s="10"/>
      <c r="N11" s="10"/>
    </row>
    <row r="12" spans="2:15" s="28" customFormat="1" ht="15.5" x14ac:dyDescent="0.35">
      <c r="B12" s="12" t="s">
        <v>313</v>
      </c>
      <c r="C12" s="29"/>
      <c r="D12" s="29"/>
      <c r="E12" s="30"/>
      <c r="H12" s="30"/>
      <c r="I12" s="30"/>
      <c r="J12" s="31"/>
      <c r="K12" s="31"/>
      <c r="L12" s="31"/>
      <c r="M12" s="31"/>
      <c r="N12" s="31"/>
    </row>
    <row r="13" spans="2:15" ht="33" customHeight="1" x14ac:dyDescent="0.25">
      <c r="B13" s="584" t="s">
        <v>314</v>
      </c>
      <c r="C13" s="584"/>
      <c r="D13" s="584"/>
      <c r="E13" s="584"/>
      <c r="F13" s="584"/>
      <c r="G13" s="584"/>
      <c r="H13" s="584"/>
      <c r="I13" s="584"/>
      <c r="J13" s="10"/>
      <c r="K13" s="10"/>
      <c r="L13" s="10"/>
      <c r="M13" s="10"/>
      <c r="N13" s="10"/>
    </row>
    <row r="14" spans="2:15" ht="14" x14ac:dyDescent="0.25">
      <c r="B14" s="32" t="s">
        <v>315</v>
      </c>
      <c r="C14" s="33"/>
      <c r="D14" s="33"/>
      <c r="E14" s="34"/>
      <c r="F14" s="34"/>
      <c r="G14" s="34"/>
      <c r="H14" s="34" t="s">
        <v>316</v>
      </c>
      <c r="I14" s="34"/>
      <c r="J14" s="10"/>
      <c r="K14" s="10"/>
      <c r="L14" s="10"/>
      <c r="M14" s="10"/>
      <c r="N14" s="10"/>
    </row>
    <row r="15" spans="2:15" ht="49.5" customHeight="1" x14ac:dyDescent="0.25">
      <c r="B15" s="555" t="s">
        <v>317</v>
      </c>
      <c r="C15" s="555"/>
      <c r="D15" s="555"/>
      <c r="E15" s="555"/>
      <c r="F15" s="34"/>
      <c r="G15" s="34"/>
      <c r="H15" s="34"/>
      <c r="I15" s="34"/>
      <c r="J15" s="10"/>
      <c r="K15" s="10"/>
      <c r="L15" s="10"/>
      <c r="M15" s="10"/>
      <c r="N15" s="10"/>
    </row>
    <row r="16" spans="2:15" ht="26" x14ac:dyDescent="0.3">
      <c r="B16" s="368" t="s">
        <v>195</v>
      </c>
      <c r="C16" s="369" t="s">
        <v>318</v>
      </c>
      <c r="D16" s="365" t="s">
        <v>319</v>
      </c>
      <c r="E16" s="369" t="s">
        <v>320</v>
      </c>
      <c r="F16" s="34"/>
      <c r="G16" s="554" t="s">
        <v>229</v>
      </c>
      <c r="H16" s="554"/>
      <c r="I16" s="554"/>
      <c r="J16" s="554"/>
      <c r="K16" s="554"/>
      <c r="L16" s="10"/>
      <c r="M16" s="10"/>
      <c r="N16" s="10"/>
      <c r="O16" s="10"/>
    </row>
    <row r="17" spans="2:15" ht="13" x14ac:dyDescent="0.3">
      <c r="B17" s="287" t="str">
        <f>'III. Data Inputs-BE'!B33</f>
        <v>January</v>
      </c>
      <c r="C17" s="337">
        <f>IFERROR(IF(NOT(ISBLANK(D17)), D17, VLOOKUP('III. Data Inputs-BE'!$C$21, 'XIV. Reference Tables'!$B$544:$E$545, 4, FALSE)),0)</f>
        <v>0</v>
      </c>
      <c r="D17" s="390"/>
      <c r="E17" s="494"/>
      <c r="F17" s="34"/>
      <c r="G17" s="554"/>
      <c r="H17" s="554"/>
      <c r="I17" s="554"/>
      <c r="J17" s="554"/>
      <c r="K17" s="554"/>
      <c r="L17" s="10"/>
      <c r="M17" s="10"/>
      <c r="N17" s="10"/>
      <c r="O17" s="10"/>
    </row>
    <row r="18" spans="2:15" ht="13" x14ac:dyDescent="0.3">
      <c r="B18" s="287" t="str">
        <f>'III. Data Inputs-BE'!B34</f>
        <v>February</v>
      </c>
      <c r="C18" s="337">
        <f>IFERROR(IF(NOT(ISBLANK(D18)), D18, VLOOKUP('III. Data Inputs-BE'!$C$21, 'XIV. Reference Tables'!$B$544:$E$545, 4, FALSE)),0)</f>
        <v>0</v>
      </c>
      <c r="D18" s="390"/>
      <c r="E18" s="494"/>
      <c r="F18" s="34"/>
      <c r="G18" s="554"/>
      <c r="H18" s="554"/>
      <c r="I18" s="554"/>
      <c r="J18" s="554"/>
      <c r="K18" s="554"/>
      <c r="L18" s="10"/>
      <c r="M18" s="10"/>
      <c r="N18" s="10"/>
      <c r="O18" s="10"/>
    </row>
    <row r="19" spans="2:15" ht="13" x14ac:dyDescent="0.3">
      <c r="B19" s="287" t="str">
        <f>'III. Data Inputs-BE'!B35</f>
        <v>March</v>
      </c>
      <c r="C19" s="337">
        <f>IFERROR(IF(NOT(ISBLANK(D19)), D19, VLOOKUP('III. Data Inputs-BE'!$C$21, 'XIV. Reference Tables'!$B$544:$E$545, 4, FALSE)),0)</f>
        <v>0</v>
      </c>
      <c r="D19" s="390"/>
      <c r="E19" s="494"/>
      <c r="F19" s="34"/>
      <c r="G19" s="554"/>
      <c r="H19" s="554"/>
      <c r="I19" s="554"/>
      <c r="J19" s="554"/>
      <c r="K19" s="554"/>
      <c r="L19" s="10"/>
      <c r="M19" s="10"/>
      <c r="N19" s="10"/>
      <c r="O19" s="10"/>
    </row>
    <row r="20" spans="2:15" ht="13" x14ac:dyDescent="0.3">
      <c r="B20" s="287" t="str">
        <f>'III. Data Inputs-BE'!B36</f>
        <v>April</v>
      </c>
      <c r="C20" s="337">
        <f>IFERROR(IF(NOT(ISBLANK(D20)), D20, VLOOKUP('III. Data Inputs-BE'!$C$21, 'XIV. Reference Tables'!$B$544:$E$545, 4, FALSE)),0)</f>
        <v>0</v>
      </c>
      <c r="D20" s="390"/>
      <c r="E20" s="494"/>
      <c r="F20" s="34"/>
      <c r="G20" s="554"/>
      <c r="H20" s="554"/>
      <c r="I20" s="554"/>
      <c r="J20" s="554"/>
      <c r="K20" s="554"/>
      <c r="L20" s="10"/>
      <c r="M20" s="10"/>
      <c r="N20" s="10"/>
      <c r="O20" s="10"/>
    </row>
    <row r="21" spans="2:15" ht="13" x14ac:dyDescent="0.3">
      <c r="B21" s="287" t="str">
        <f>'III. Data Inputs-BE'!B37</f>
        <v>May</v>
      </c>
      <c r="C21" s="337">
        <f>IFERROR(IF(NOT(ISBLANK(D21)), D21, VLOOKUP('III. Data Inputs-BE'!$C$21, 'XIV. Reference Tables'!$B$544:$E$545, 4, FALSE)),0)</f>
        <v>0</v>
      </c>
      <c r="D21" s="390"/>
      <c r="E21" s="494"/>
      <c r="F21" s="34"/>
      <c r="G21" s="554"/>
      <c r="H21" s="554"/>
      <c r="I21" s="554"/>
      <c r="J21" s="554"/>
      <c r="K21" s="554"/>
      <c r="L21" s="10"/>
      <c r="M21" s="10"/>
      <c r="N21" s="10"/>
      <c r="O21" s="10"/>
    </row>
    <row r="22" spans="2:15" ht="13" x14ac:dyDescent="0.3">
      <c r="B22" s="287" t="str">
        <f>'III. Data Inputs-BE'!B38</f>
        <v>June</v>
      </c>
      <c r="C22" s="337">
        <f>IFERROR(IF(NOT(ISBLANK(D22)), D22, VLOOKUP('III. Data Inputs-BE'!$C$21, 'XIV. Reference Tables'!$B$544:$E$545, 4, FALSE)),0)</f>
        <v>0</v>
      </c>
      <c r="D22" s="390"/>
      <c r="E22" s="494"/>
      <c r="F22" s="34"/>
      <c r="G22" s="554"/>
      <c r="H22" s="554"/>
      <c r="I22" s="554"/>
      <c r="J22" s="554"/>
      <c r="K22" s="554"/>
      <c r="L22" s="10"/>
      <c r="M22" s="10"/>
      <c r="N22" s="10"/>
      <c r="O22" s="10"/>
    </row>
    <row r="23" spans="2:15" ht="13" x14ac:dyDescent="0.3">
      <c r="B23" s="287" t="str">
        <f>'III. Data Inputs-BE'!B39</f>
        <v>July</v>
      </c>
      <c r="C23" s="337">
        <f>IFERROR(IF(NOT(ISBLANK(D23)), D23, VLOOKUP('III. Data Inputs-BE'!$C$21, 'XIV. Reference Tables'!$B$544:$E$545, 4, FALSE)),0)</f>
        <v>0</v>
      </c>
      <c r="D23" s="390"/>
      <c r="E23" s="494"/>
      <c r="F23" s="34"/>
      <c r="G23" s="554"/>
      <c r="H23" s="554"/>
      <c r="I23" s="554"/>
      <c r="J23" s="554"/>
      <c r="K23" s="554"/>
      <c r="L23" s="10"/>
      <c r="M23" s="10"/>
      <c r="N23" s="10"/>
      <c r="O23" s="10"/>
    </row>
    <row r="24" spans="2:15" ht="13" x14ac:dyDescent="0.3">
      <c r="B24" s="287" t="str">
        <f>'III. Data Inputs-BE'!B40</f>
        <v>August</v>
      </c>
      <c r="C24" s="337">
        <f>IFERROR(IF(NOT(ISBLANK(D24)), D24, VLOOKUP('III. Data Inputs-BE'!$C$21, 'XIV. Reference Tables'!$B$544:$E$545, 4, FALSE)),0)</f>
        <v>0</v>
      </c>
      <c r="D24" s="390"/>
      <c r="E24" s="494"/>
      <c r="F24" s="34"/>
      <c r="G24" s="554"/>
      <c r="H24" s="554"/>
      <c r="I24" s="554"/>
      <c r="J24" s="554"/>
      <c r="K24" s="554"/>
      <c r="L24" s="10"/>
      <c r="M24" s="10"/>
      <c r="N24" s="10"/>
      <c r="O24" s="10"/>
    </row>
    <row r="25" spans="2:15" ht="13" x14ac:dyDescent="0.3">
      <c r="B25" s="287" t="str">
        <f>'III. Data Inputs-BE'!B41</f>
        <v>September</v>
      </c>
      <c r="C25" s="337">
        <f>IFERROR(IF(NOT(ISBLANK(D25)), D25, VLOOKUP('III. Data Inputs-BE'!$C$21, 'XIV. Reference Tables'!$B$544:$E$545, 4, FALSE)),0)</f>
        <v>0</v>
      </c>
      <c r="D25" s="390"/>
      <c r="E25" s="494"/>
      <c r="F25" s="34"/>
      <c r="G25" s="554"/>
      <c r="H25" s="554"/>
      <c r="I25" s="554"/>
      <c r="J25" s="554"/>
      <c r="K25" s="554"/>
      <c r="L25" s="10"/>
      <c r="M25" s="10"/>
      <c r="N25" s="10"/>
      <c r="O25" s="10"/>
    </row>
    <row r="26" spans="2:15" ht="13" x14ac:dyDescent="0.3">
      <c r="B26" s="287" t="str">
        <f>'III. Data Inputs-BE'!B42</f>
        <v>October</v>
      </c>
      <c r="C26" s="337">
        <f>IFERROR(IF(NOT(ISBLANK(D26)), D26, VLOOKUP('III. Data Inputs-BE'!$C$21, 'XIV. Reference Tables'!$B$544:$E$545, 4, FALSE)),0)</f>
        <v>0</v>
      </c>
      <c r="D26" s="390"/>
      <c r="E26" s="494"/>
      <c r="F26" s="34"/>
      <c r="G26" s="554"/>
      <c r="H26" s="554"/>
      <c r="I26" s="554"/>
      <c r="J26" s="554"/>
      <c r="K26" s="554"/>
      <c r="L26" s="10"/>
      <c r="M26" s="10"/>
      <c r="N26" s="10"/>
      <c r="O26" s="10"/>
    </row>
    <row r="27" spans="2:15" ht="13" x14ac:dyDescent="0.3">
      <c r="B27" s="287" t="str">
        <f>'III. Data Inputs-BE'!B43</f>
        <v>November</v>
      </c>
      <c r="C27" s="337">
        <f>IFERROR(IF(NOT(ISBLANK(D27)), D27, VLOOKUP('III. Data Inputs-BE'!$C$21, 'XIV. Reference Tables'!$B$544:$E$545, 4, FALSE)),0)</f>
        <v>0</v>
      </c>
      <c r="D27" s="390"/>
      <c r="E27" s="494"/>
      <c r="F27" s="34"/>
      <c r="G27" s="554"/>
      <c r="H27" s="554"/>
      <c r="I27" s="554"/>
      <c r="J27" s="554"/>
      <c r="K27" s="554"/>
      <c r="L27" s="10"/>
      <c r="M27" s="10"/>
      <c r="N27" s="10"/>
      <c r="O27" s="10"/>
    </row>
    <row r="28" spans="2:15" ht="13" x14ac:dyDescent="0.3">
      <c r="B28" s="287" t="str">
        <f>'III. Data Inputs-BE'!B44</f>
        <v>December</v>
      </c>
      <c r="C28" s="337">
        <f>IFERROR(IF(NOT(ISBLANK(D28)), D28, VLOOKUP('III. Data Inputs-BE'!$C$21, 'XIV. Reference Tables'!$B$544:$E$545, 4, FALSE)),0)</f>
        <v>0</v>
      </c>
      <c r="D28" s="390"/>
      <c r="E28" s="494"/>
      <c r="F28" s="34"/>
      <c r="G28" s="554"/>
      <c r="H28" s="554"/>
      <c r="I28" s="554"/>
      <c r="J28" s="554"/>
      <c r="K28" s="554"/>
      <c r="L28" s="10"/>
      <c r="M28" s="10"/>
      <c r="N28" s="10"/>
      <c r="O28" s="10"/>
    </row>
    <row r="29" spans="2:15" ht="23.25" customHeight="1" thickBot="1" x14ac:dyDescent="0.35">
      <c r="B29" s="3"/>
      <c r="C29" s="34"/>
      <c r="D29" s="34"/>
      <c r="E29" s="34"/>
      <c r="F29" s="34"/>
      <c r="G29" s="34"/>
      <c r="H29" s="34"/>
      <c r="I29" s="34"/>
      <c r="J29" s="10"/>
      <c r="K29" s="10"/>
      <c r="L29" s="10"/>
      <c r="M29" s="10"/>
      <c r="N29" s="10"/>
    </row>
    <row r="30" spans="2:15" ht="62.25" customHeight="1" thickBot="1" x14ac:dyDescent="0.3">
      <c r="B30" s="586" t="s">
        <v>321</v>
      </c>
      <c r="C30" s="587"/>
      <c r="D30" s="587"/>
      <c r="E30" s="587"/>
      <c r="F30" s="587"/>
      <c r="G30" s="587"/>
      <c r="H30" s="587"/>
      <c r="I30" s="587"/>
      <c r="J30" s="588"/>
      <c r="K30" s="10"/>
      <c r="L30" s="10"/>
      <c r="M30" s="10"/>
      <c r="N30" s="10"/>
    </row>
    <row r="31" spans="2:15" ht="17.149999999999999" customHeight="1" x14ac:dyDescent="0.25">
      <c r="B31" s="34"/>
      <c r="C31" s="34"/>
      <c r="D31" s="34"/>
      <c r="E31" s="34"/>
      <c r="F31" s="34"/>
      <c r="G31" s="34"/>
      <c r="H31" s="34"/>
      <c r="I31" s="34"/>
      <c r="J31" s="10"/>
      <c r="K31" s="10"/>
      <c r="L31" s="10"/>
      <c r="M31" s="10"/>
      <c r="N31" s="10"/>
    </row>
    <row r="32" spans="2:15" ht="13" x14ac:dyDescent="0.25">
      <c r="B32" s="585" t="s">
        <v>322</v>
      </c>
      <c r="C32" s="557"/>
      <c r="D32" s="557"/>
      <c r="E32" s="36"/>
      <c r="F32" s="554" t="s">
        <v>229</v>
      </c>
      <c r="G32" s="554"/>
      <c r="H32" s="554"/>
      <c r="I32" s="554"/>
      <c r="J32" s="7"/>
      <c r="K32" s="10"/>
      <c r="L32" s="10"/>
      <c r="M32" s="10"/>
      <c r="N32" s="10"/>
    </row>
    <row r="33" spans="1:16" x14ac:dyDescent="0.25">
      <c r="B33" s="561" t="s">
        <v>323</v>
      </c>
      <c r="C33" s="561"/>
      <c r="D33" s="561"/>
      <c r="E33" s="36"/>
      <c r="F33" s="554"/>
      <c r="G33" s="554"/>
      <c r="H33" s="554"/>
      <c r="I33" s="554"/>
      <c r="J33" s="7"/>
      <c r="K33" s="10"/>
      <c r="L33" s="10"/>
      <c r="M33" s="10"/>
      <c r="N33" s="10"/>
    </row>
    <row r="34" spans="1:16" x14ac:dyDescent="0.25">
      <c r="B34" s="36"/>
      <c r="C34" s="36"/>
      <c r="D34" s="36"/>
      <c r="E34" s="36"/>
      <c r="F34" s="554"/>
      <c r="G34" s="554"/>
      <c r="H34" s="554"/>
      <c r="I34" s="554"/>
      <c r="J34" s="7"/>
      <c r="K34" s="10"/>
      <c r="L34" s="10"/>
      <c r="M34" s="10"/>
      <c r="N34" s="10"/>
    </row>
    <row r="35" spans="1:16" ht="35.25" customHeight="1" x14ac:dyDescent="0.25">
      <c r="B35" s="582" t="s">
        <v>324</v>
      </c>
      <c r="C35" s="582"/>
      <c r="D35" s="367" t="s">
        <v>268</v>
      </c>
      <c r="E35" s="36"/>
      <c r="F35" s="554"/>
      <c r="G35" s="554"/>
      <c r="H35" s="554"/>
      <c r="I35" s="554"/>
      <c r="J35" s="7"/>
      <c r="K35" s="10"/>
      <c r="L35" s="10"/>
      <c r="M35" s="10"/>
      <c r="N35" s="10"/>
    </row>
    <row r="36" spans="1:16" ht="17.149999999999999" customHeight="1" x14ac:dyDescent="0.25">
      <c r="B36" s="576" t="s">
        <v>325</v>
      </c>
      <c r="C36" s="576"/>
      <c r="D36" s="576"/>
      <c r="E36" s="36"/>
      <c r="F36" s="554"/>
      <c r="G36" s="554"/>
      <c r="H36" s="554"/>
      <c r="I36" s="554"/>
      <c r="J36" s="7"/>
      <c r="K36" s="10"/>
      <c r="L36" s="10"/>
      <c r="M36" s="10"/>
      <c r="N36" s="10"/>
    </row>
    <row r="37" spans="1:16" ht="15" customHeight="1" x14ac:dyDescent="0.25">
      <c r="B37" s="576"/>
      <c r="C37" s="576"/>
      <c r="D37" s="576"/>
      <c r="E37" s="36"/>
      <c r="F37" s="554"/>
      <c r="G37" s="554"/>
      <c r="H37" s="554"/>
      <c r="I37" s="554"/>
      <c r="J37" s="7"/>
      <c r="K37" s="10"/>
      <c r="L37" s="10"/>
      <c r="M37" s="10"/>
      <c r="N37" s="10"/>
    </row>
    <row r="38" spans="1:16" x14ac:dyDescent="0.25">
      <c r="B38" s="36"/>
      <c r="C38" s="36"/>
      <c r="D38" s="36"/>
      <c r="E38" s="36"/>
      <c r="F38" s="8"/>
      <c r="G38" s="8"/>
      <c r="H38" s="8"/>
      <c r="I38" s="8"/>
      <c r="J38" s="7"/>
      <c r="K38" s="10"/>
      <c r="L38" s="10"/>
      <c r="M38" s="10"/>
      <c r="N38" s="10"/>
    </row>
    <row r="39" spans="1:16" ht="28.5" customHeight="1" x14ac:dyDescent="0.25">
      <c r="B39" s="32" t="s">
        <v>326</v>
      </c>
      <c r="C39" s="32"/>
      <c r="D39" s="32"/>
      <c r="E39" s="32"/>
      <c r="F39" s="7"/>
      <c r="G39" s="7"/>
      <c r="I39" s="9"/>
      <c r="J39" s="9"/>
      <c r="K39" s="7"/>
      <c r="L39" s="7"/>
      <c r="M39" s="10"/>
      <c r="N39" s="10"/>
    </row>
    <row r="40" spans="1:16" ht="26.25" customHeight="1" x14ac:dyDescent="0.3">
      <c r="B40" s="563" t="s">
        <v>327</v>
      </c>
      <c r="C40" s="563"/>
      <c r="D40" s="563"/>
      <c r="E40" s="37"/>
      <c r="F40" s="7"/>
      <c r="G40" s="7"/>
      <c r="H40" s="10"/>
      <c r="I40" s="9"/>
      <c r="J40" s="9"/>
      <c r="K40" s="7"/>
      <c r="L40" s="7"/>
      <c r="M40" s="10"/>
      <c r="N40" s="10"/>
    </row>
    <row r="41" spans="1:16" ht="16" customHeight="1" x14ac:dyDescent="0.25">
      <c r="B41" s="38"/>
      <c r="C41" s="34"/>
      <c r="D41" s="34"/>
      <c r="E41" s="34"/>
      <c r="F41" s="7"/>
      <c r="G41" s="7"/>
      <c r="H41" s="9"/>
      <c r="I41" s="9"/>
      <c r="J41" s="9"/>
      <c r="K41" s="7"/>
      <c r="L41" s="7"/>
      <c r="M41" s="10"/>
      <c r="N41" s="10"/>
    </row>
    <row r="42" spans="1:16" ht="45" customHeight="1" x14ac:dyDescent="0.25">
      <c r="B42" s="582" t="s">
        <v>328</v>
      </c>
      <c r="C42" s="583"/>
      <c r="D42" s="367" t="s">
        <v>266</v>
      </c>
      <c r="E42" s="34"/>
      <c r="F42" s="7"/>
      <c r="G42" s="7"/>
      <c r="H42" s="9"/>
      <c r="I42" s="9"/>
      <c r="J42" s="9"/>
      <c r="K42" s="7"/>
      <c r="L42" s="7"/>
      <c r="M42" s="10"/>
      <c r="N42" s="10"/>
    </row>
    <row r="43" spans="1:16" ht="50.25" customHeight="1" x14ac:dyDescent="0.25">
      <c r="B43" s="581" t="s">
        <v>329</v>
      </c>
      <c r="C43" s="581"/>
      <c r="D43" s="581"/>
      <c r="E43" s="34"/>
      <c r="F43" s="34"/>
      <c r="G43" s="34"/>
      <c r="H43" s="9"/>
      <c r="I43" s="9"/>
      <c r="J43" s="9"/>
      <c r="K43" s="7"/>
      <c r="L43" s="7"/>
      <c r="M43" s="7"/>
      <c r="N43" s="7"/>
    </row>
    <row r="44" spans="1:16" ht="13" x14ac:dyDescent="0.25">
      <c r="B44" s="38"/>
      <c r="C44" s="34"/>
      <c r="D44" s="34"/>
      <c r="E44" s="34"/>
      <c r="F44" s="34"/>
      <c r="G44" s="34"/>
      <c r="H44" s="9"/>
      <c r="I44" s="9"/>
      <c r="J44" s="9"/>
      <c r="K44" s="7"/>
      <c r="L44" s="7"/>
      <c r="M44" s="7"/>
      <c r="N44" s="7"/>
    </row>
    <row r="45" spans="1:16" ht="15" x14ac:dyDescent="0.25">
      <c r="A45" s="39"/>
      <c r="B45" s="368" t="s">
        <v>195</v>
      </c>
      <c r="C45" s="368" t="s">
        <v>330</v>
      </c>
      <c r="D45" s="368" t="s">
        <v>331</v>
      </c>
      <c r="E45" s="368" t="s">
        <v>332</v>
      </c>
      <c r="F45" s="368" t="s">
        <v>333</v>
      </c>
      <c r="H45" s="554" t="s">
        <v>229</v>
      </c>
      <c r="I45" s="554"/>
      <c r="J45" s="554"/>
      <c r="K45" s="554"/>
      <c r="L45" s="7"/>
      <c r="M45" s="7"/>
      <c r="N45" s="7"/>
      <c r="O45" s="10"/>
      <c r="P45" s="10"/>
    </row>
    <row r="46" spans="1:16" x14ac:dyDescent="0.25">
      <c r="B46" s="287" t="str">
        <f>'III. Data Inputs-BE'!B33</f>
        <v>January</v>
      </c>
      <c r="C46" s="40"/>
      <c r="D46" s="40"/>
      <c r="E46" s="297"/>
      <c r="F46" s="40"/>
      <c r="H46" s="554"/>
      <c r="I46" s="554"/>
      <c r="J46" s="554"/>
      <c r="K46" s="554"/>
      <c r="L46" s="7"/>
      <c r="M46" s="7"/>
      <c r="N46" s="7"/>
      <c r="O46" s="10"/>
      <c r="P46" s="10"/>
    </row>
    <row r="47" spans="1:16" x14ac:dyDescent="0.25">
      <c r="B47" s="287" t="str">
        <f>'III. Data Inputs-BE'!B34</f>
        <v>February</v>
      </c>
      <c r="C47" s="40"/>
      <c r="D47" s="40"/>
      <c r="E47" s="297"/>
      <c r="F47" s="40"/>
      <c r="H47" s="554"/>
      <c r="I47" s="554"/>
      <c r="J47" s="554"/>
      <c r="K47" s="554"/>
      <c r="L47" s="7"/>
      <c r="M47" s="7"/>
      <c r="N47" s="7"/>
      <c r="O47" s="10"/>
      <c r="P47" s="10"/>
    </row>
    <row r="48" spans="1:16" x14ac:dyDescent="0.25">
      <c r="B48" s="287" t="str">
        <f>'III. Data Inputs-BE'!B35</f>
        <v>March</v>
      </c>
      <c r="C48" s="40"/>
      <c r="D48" s="40"/>
      <c r="E48" s="297"/>
      <c r="F48" s="40"/>
      <c r="H48" s="554"/>
      <c r="I48" s="554"/>
      <c r="J48" s="554"/>
      <c r="K48" s="554"/>
      <c r="L48" s="7"/>
      <c r="M48" s="7"/>
      <c r="N48" s="7"/>
      <c r="O48" s="10"/>
      <c r="P48" s="10"/>
    </row>
    <row r="49" spans="2:16" x14ac:dyDescent="0.25">
      <c r="B49" s="287" t="str">
        <f>'III. Data Inputs-BE'!B36</f>
        <v>April</v>
      </c>
      <c r="C49" s="40"/>
      <c r="D49" s="40"/>
      <c r="E49" s="297"/>
      <c r="F49" s="40"/>
      <c r="H49" s="554"/>
      <c r="I49" s="554"/>
      <c r="J49" s="554"/>
      <c r="K49" s="554"/>
      <c r="L49" s="7"/>
      <c r="M49" s="7"/>
      <c r="N49" s="7"/>
      <c r="O49" s="10"/>
      <c r="P49" s="10"/>
    </row>
    <row r="50" spans="2:16" x14ac:dyDescent="0.25">
      <c r="B50" s="287" t="str">
        <f>'III. Data Inputs-BE'!B37</f>
        <v>May</v>
      </c>
      <c r="C50" s="40"/>
      <c r="D50" s="40"/>
      <c r="E50" s="297"/>
      <c r="F50" s="40"/>
      <c r="H50" s="554"/>
      <c r="I50" s="554"/>
      <c r="J50" s="554"/>
      <c r="K50" s="554"/>
      <c r="L50" s="7"/>
      <c r="M50" s="7"/>
      <c r="N50" s="7"/>
      <c r="O50" s="10"/>
      <c r="P50" s="10"/>
    </row>
    <row r="51" spans="2:16" x14ac:dyDescent="0.25">
      <c r="B51" s="287" t="str">
        <f>'III. Data Inputs-BE'!B38</f>
        <v>June</v>
      </c>
      <c r="C51" s="40"/>
      <c r="D51" s="40"/>
      <c r="E51" s="297"/>
      <c r="F51" s="40"/>
      <c r="H51" s="554"/>
      <c r="I51" s="554"/>
      <c r="J51" s="554"/>
      <c r="K51" s="554"/>
      <c r="L51" s="7"/>
      <c r="M51" s="7"/>
      <c r="N51" s="7"/>
      <c r="O51" s="10"/>
      <c r="P51" s="10"/>
    </row>
    <row r="52" spans="2:16" x14ac:dyDescent="0.25">
      <c r="B52" s="287" t="str">
        <f>'III. Data Inputs-BE'!B39</f>
        <v>July</v>
      </c>
      <c r="C52" s="40"/>
      <c r="D52" s="40"/>
      <c r="E52" s="297"/>
      <c r="F52" s="40"/>
      <c r="H52" s="554"/>
      <c r="I52" s="554"/>
      <c r="J52" s="554"/>
      <c r="K52" s="554"/>
      <c r="M52" s="7"/>
      <c r="N52" s="7"/>
      <c r="O52" s="10"/>
      <c r="P52" s="10"/>
    </row>
    <row r="53" spans="2:16" x14ac:dyDescent="0.25">
      <c r="B53" s="287" t="str">
        <f>'III. Data Inputs-BE'!B40</f>
        <v>August</v>
      </c>
      <c r="C53" s="40"/>
      <c r="D53" s="40"/>
      <c r="E53" s="297"/>
      <c r="F53" s="40"/>
      <c r="H53" s="554"/>
      <c r="I53" s="554"/>
      <c r="J53" s="554"/>
      <c r="K53" s="554"/>
      <c r="M53" s="7"/>
      <c r="N53" s="7"/>
      <c r="O53" s="10"/>
      <c r="P53" s="10"/>
    </row>
    <row r="54" spans="2:16" x14ac:dyDescent="0.25">
      <c r="B54" s="287" t="str">
        <f>'III. Data Inputs-BE'!B41</f>
        <v>September</v>
      </c>
      <c r="C54" s="40"/>
      <c r="D54" s="40"/>
      <c r="E54" s="297"/>
      <c r="F54" s="40"/>
      <c r="H54" s="554"/>
      <c r="I54" s="554"/>
      <c r="J54" s="554"/>
      <c r="K54" s="554"/>
      <c r="M54" s="7"/>
      <c r="N54" s="7"/>
      <c r="O54" s="10"/>
      <c r="P54" s="10"/>
    </row>
    <row r="55" spans="2:16" x14ac:dyDescent="0.25">
      <c r="B55" s="287" t="str">
        <f>'III. Data Inputs-BE'!B42</f>
        <v>October</v>
      </c>
      <c r="C55" s="40"/>
      <c r="D55" s="40"/>
      <c r="E55" s="297"/>
      <c r="F55" s="40"/>
      <c r="H55" s="554"/>
      <c r="I55" s="554"/>
      <c r="J55" s="554"/>
      <c r="K55" s="554"/>
      <c r="M55" s="7"/>
      <c r="N55" s="7"/>
      <c r="O55" s="10"/>
      <c r="P55" s="10"/>
    </row>
    <row r="56" spans="2:16" x14ac:dyDescent="0.25">
      <c r="B56" s="287" t="str">
        <f>'III. Data Inputs-BE'!B43</f>
        <v>November</v>
      </c>
      <c r="C56" s="40"/>
      <c r="D56" s="40"/>
      <c r="E56" s="297"/>
      <c r="F56" s="40"/>
      <c r="H56" s="554"/>
      <c r="I56" s="554"/>
      <c r="J56" s="554"/>
      <c r="K56" s="554"/>
      <c r="M56" s="7"/>
      <c r="N56" s="7"/>
      <c r="O56" s="10"/>
      <c r="P56" s="10"/>
    </row>
    <row r="57" spans="2:16" x14ac:dyDescent="0.25">
      <c r="B57" s="287" t="str">
        <f>'III. Data Inputs-BE'!B44</f>
        <v>December</v>
      </c>
      <c r="C57" s="40"/>
      <c r="D57" s="40"/>
      <c r="E57" s="297"/>
      <c r="F57" s="40"/>
      <c r="H57" s="554"/>
      <c r="I57" s="554"/>
      <c r="J57" s="554"/>
      <c r="K57" s="554"/>
      <c r="M57" s="7"/>
      <c r="N57" s="7"/>
      <c r="O57" s="10"/>
      <c r="P57" s="10"/>
    </row>
    <row r="58" spans="2:16" ht="15" x14ac:dyDescent="0.3">
      <c r="B58" s="13" t="s">
        <v>334</v>
      </c>
      <c r="E58" s="3"/>
      <c r="F58" s="3"/>
      <c r="G58" s="41"/>
      <c r="L58" s="7"/>
      <c r="M58" s="7"/>
      <c r="N58" s="7"/>
      <c r="O58" s="10"/>
      <c r="P58" s="10"/>
    </row>
    <row r="59" spans="2:16" x14ac:dyDescent="0.25">
      <c r="L59" s="7"/>
      <c r="M59" s="7"/>
      <c r="N59" s="7"/>
      <c r="O59" s="10"/>
      <c r="P59" s="10"/>
    </row>
    <row r="60" spans="2:16" ht="13" x14ac:dyDescent="0.25">
      <c r="B60" s="32" t="s">
        <v>335</v>
      </c>
      <c r="C60" s="32"/>
      <c r="D60" s="32"/>
      <c r="E60" s="32"/>
      <c r="J60" s="7"/>
      <c r="K60" s="7"/>
      <c r="L60" s="7"/>
      <c r="M60" s="7"/>
      <c r="N60" s="7"/>
      <c r="O60" s="10"/>
      <c r="P60" s="10"/>
    </row>
    <row r="61" spans="2:16" ht="32.25" customHeight="1" x14ac:dyDescent="0.3">
      <c r="B61" s="570" t="s">
        <v>336</v>
      </c>
      <c r="C61" s="570"/>
      <c r="D61" s="570"/>
      <c r="E61" s="37"/>
      <c r="J61" s="7"/>
      <c r="K61" s="7"/>
      <c r="L61" s="7"/>
      <c r="M61" s="7"/>
      <c r="N61" s="7"/>
      <c r="O61" s="10"/>
      <c r="P61" s="10"/>
    </row>
    <row r="62" spans="2:16" ht="54" customHeight="1" x14ac:dyDescent="0.25">
      <c r="B62" s="563" t="s">
        <v>337</v>
      </c>
      <c r="C62" s="563"/>
      <c r="D62" s="569"/>
      <c r="L62" s="7"/>
      <c r="M62" s="7"/>
      <c r="N62" s="7"/>
    </row>
    <row r="63" spans="2:16" ht="15" x14ac:dyDescent="0.25">
      <c r="B63" s="368" t="s">
        <v>195</v>
      </c>
      <c r="C63" s="370" t="s">
        <v>338</v>
      </c>
      <c r="E63" s="554" t="s">
        <v>229</v>
      </c>
      <c r="F63" s="554"/>
      <c r="G63" s="11"/>
      <c r="H63" s="11"/>
      <c r="I63" s="42"/>
      <c r="J63" s="42"/>
      <c r="L63" s="7"/>
      <c r="M63" s="7"/>
      <c r="N63" s="7"/>
    </row>
    <row r="64" spans="2:16" x14ac:dyDescent="0.25">
      <c r="B64" s="287" t="str">
        <f>'III. Data Inputs-BE'!B33</f>
        <v>January</v>
      </c>
      <c r="C64" s="371"/>
      <c r="D64" s="36"/>
      <c r="E64" s="554"/>
      <c r="F64" s="554"/>
      <c r="G64" s="11"/>
      <c r="H64" s="11"/>
      <c r="I64" s="42"/>
      <c r="J64" s="42"/>
      <c r="L64" s="7"/>
      <c r="M64" s="7"/>
      <c r="N64" s="7"/>
    </row>
    <row r="65" spans="2:14" x14ac:dyDescent="0.25">
      <c r="B65" s="287" t="str">
        <f>'III. Data Inputs-BE'!B34</f>
        <v>February</v>
      </c>
      <c r="C65" s="371"/>
      <c r="D65" s="36"/>
      <c r="E65" s="554"/>
      <c r="F65" s="554"/>
      <c r="G65" s="11"/>
      <c r="H65" s="11"/>
      <c r="I65" s="42"/>
      <c r="J65" s="42"/>
      <c r="L65" s="7"/>
      <c r="M65" s="7"/>
      <c r="N65" s="7"/>
    </row>
    <row r="66" spans="2:14" x14ac:dyDescent="0.25">
      <c r="B66" s="287" t="str">
        <f>'III. Data Inputs-BE'!B35</f>
        <v>March</v>
      </c>
      <c r="C66" s="371"/>
      <c r="D66" s="36"/>
      <c r="E66" s="554"/>
      <c r="F66" s="554"/>
      <c r="G66" s="11"/>
      <c r="H66" s="11"/>
      <c r="I66" s="42"/>
      <c r="J66" s="42"/>
      <c r="L66" s="7"/>
      <c r="M66" s="7"/>
      <c r="N66" s="7"/>
    </row>
    <row r="67" spans="2:14" x14ac:dyDescent="0.25">
      <c r="B67" s="287" t="str">
        <f>'III. Data Inputs-BE'!B36</f>
        <v>April</v>
      </c>
      <c r="C67" s="371"/>
      <c r="D67" s="36"/>
      <c r="E67" s="554"/>
      <c r="F67" s="554"/>
      <c r="G67" s="11"/>
      <c r="H67" s="11"/>
      <c r="I67" s="42"/>
      <c r="J67" s="42"/>
      <c r="L67" s="7"/>
      <c r="M67" s="7"/>
      <c r="N67" s="7"/>
    </row>
    <row r="68" spans="2:14" x14ac:dyDescent="0.25">
      <c r="B68" s="287" t="str">
        <f>'III. Data Inputs-BE'!B37</f>
        <v>May</v>
      </c>
      <c r="C68" s="371"/>
      <c r="D68" s="36"/>
      <c r="E68" s="554"/>
      <c r="F68" s="554"/>
      <c r="G68" s="11"/>
      <c r="H68" s="11"/>
      <c r="I68" s="42"/>
      <c r="J68" s="42"/>
      <c r="L68" s="7"/>
      <c r="M68" s="7"/>
      <c r="N68" s="7"/>
    </row>
    <row r="69" spans="2:14" x14ac:dyDescent="0.25">
      <c r="B69" s="287" t="str">
        <f>'III. Data Inputs-BE'!B38</f>
        <v>June</v>
      </c>
      <c r="C69" s="371"/>
      <c r="D69" s="36"/>
      <c r="E69" s="554"/>
      <c r="F69" s="554"/>
      <c r="G69" s="11"/>
      <c r="H69" s="11"/>
      <c r="I69" s="42"/>
      <c r="J69" s="42"/>
      <c r="L69" s="7"/>
      <c r="M69" s="7"/>
      <c r="N69" s="7"/>
    </row>
    <row r="70" spans="2:14" x14ac:dyDescent="0.25">
      <c r="B70" s="287" t="str">
        <f>'III. Data Inputs-BE'!B39</f>
        <v>July</v>
      </c>
      <c r="C70" s="371"/>
      <c r="D70" s="36"/>
      <c r="E70" s="554"/>
      <c r="F70" s="554"/>
      <c r="G70" s="11"/>
      <c r="H70" s="11"/>
      <c r="I70" s="42"/>
      <c r="J70" s="42"/>
      <c r="L70" s="7"/>
      <c r="M70" s="7"/>
      <c r="N70" s="7"/>
    </row>
    <row r="71" spans="2:14" x14ac:dyDescent="0.25">
      <c r="B71" s="287" t="str">
        <f>'III. Data Inputs-BE'!B40</f>
        <v>August</v>
      </c>
      <c r="C71" s="371"/>
      <c r="D71" s="36"/>
      <c r="E71" s="554"/>
      <c r="F71" s="554"/>
      <c r="G71" s="11"/>
      <c r="H71" s="11"/>
      <c r="I71" s="42"/>
      <c r="J71" s="42"/>
      <c r="L71" s="7"/>
      <c r="M71" s="7"/>
      <c r="N71" s="7"/>
    </row>
    <row r="72" spans="2:14" x14ac:dyDescent="0.25">
      <c r="B72" s="287" t="str">
        <f>'III. Data Inputs-BE'!B41</f>
        <v>September</v>
      </c>
      <c r="C72" s="371"/>
      <c r="D72" s="36"/>
      <c r="E72" s="554"/>
      <c r="F72" s="554"/>
      <c r="G72" s="11"/>
      <c r="H72" s="11"/>
      <c r="I72" s="42"/>
      <c r="J72" s="42"/>
      <c r="L72" s="7"/>
      <c r="M72" s="7"/>
      <c r="N72" s="7"/>
    </row>
    <row r="73" spans="2:14" x14ac:dyDescent="0.25">
      <c r="B73" s="287" t="str">
        <f>'III. Data Inputs-BE'!B42</f>
        <v>October</v>
      </c>
      <c r="C73" s="371"/>
      <c r="D73" s="36"/>
      <c r="E73" s="554"/>
      <c r="F73" s="554"/>
      <c r="G73" s="11"/>
      <c r="H73" s="11"/>
      <c r="I73" s="42"/>
      <c r="J73" s="42"/>
      <c r="L73" s="7"/>
      <c r="M73" s="7"/>
      <c r="N73" s="7"/>
    </row>
    <row r="74" spans="2:14" x14ac:dyDescent="0.25">
      <c r="B74" s="287" t="str">
        <f>'III. Data Inputs-BE'!B43</f>
        <v>November</v>
      </c>
      <c r="C74" s="371"/>
      <c r="D74" s="36"/>
      <c r="E74" s="554"/>
      <c r="F74" s="554"/>
      <c r="G74" s="11"/>
      <c r="H74" s="11"/>
      <c r="I74" s="42"/>
      <c r="J74" s="42"/>
      <c r="L74" s="7"/>
      <c r="M74" s="7"/>
      <c r="N74" s="7"/>
    </row>
    <row r="75" spans="2:14" x14ac:dyDescent="0.25">
      <c r="B75" s="287" t="str">
        <f>'III. Data Inputs-BE'!B44</f>
        <v>December</v>
      </c>
      <c r="C75" s="371"/>
      <c r="D75" s="36"/>
      <c r="E75" s="554"/>
      <c r="F75" s="554"/>
      <c r="G75" s="11"/>
      <c r="H75" s="11"/>
      <c r="I75" s="42"/>
      <c r="J75" s="42"/>
      <c r="K75" s="7"/>
      <c r="L75" s="7"/>
      <c r="M75" s="7"/>
      <c r="N75" s="7"/>
    </row>
    <row r="76" spans="2:14" x14ac:dyDescent="0.25">
      <c r="B76" s="36"/>
      <c r="C76" s="36"/>
      <c r="D76" s="36"/>
      <c r="E76" s="36"/>
      <c r="F76" s="36"/>
      <c r="G76" s="36"/>
      <c r="H76" s="36"/>
      <c r="I76" s="41"/>
      <c r="J76" s="7"/>
      <c r="K76" s="7"/>
      <c r="L76" s="7"/>
      <c r="M76" s="7"/>
      <c r="N76" s="7"/>
    </row>
    <row r="77" spans="2:14" s="28" customFormat="1" ht="15.5" x14ac:dyDescent="0.25">
      <c r="B77" s="43" t="s">
        <v>339</v>
      </c>
      <c r="C77" s="44"/>
      <c r="D77" s="44"/>
      <c r="E77" s="44"/>
      <c r="F77" s="45"/>
      <c r="J77" s="31"/>
      <c r="K77" s="31"/>
      <c r="L77" s="31"/>
      <c r="M77" s="31"/>
      <c r="N77" s="31"/>
    </row>
    <row r="78" spans="2:14" ht="51" customHeight="1" x14ac:dyDescent="0.25">
      <c r="B78" s="555" t="s">
        <v>340</v>
      </c>
      <c r="C78" s="555"/>
      <c r="D78" s="555"/>
      <c r="E78" s="555"/>
      <c r="F78" s="36"/>
      <c r="H78" s="41"/>
      <c r="I78" s="41"/>
      <c r="J78" s="10"/>
      <c r="K78" s="10"/>
      <c r="L78" s="10"/>
      <c r="M78" s="10"/>
      <c r="N78" s="10"/>
    </row>
    <row r="79" spans="2:14" ht="20.149999999999999" customHeight="1" x14ac:dyDescent="0.4">
      <c r="B79" s="128" t="s">
        <v>195</v>
      </c>
      <c r="C79" s="365" t="s">
        <v>341</v>
      </c>
      <c r="D79" s="128" t="s">
        <v>342</v>
      </c>
      <c r="E79" s="365" t="s">
        <v>343</v>
      </c>
      <c r="F79" s="36"/>
      <c r="H79" s="41"/>
      <c r="I79" s="41"/>
      <c r="J79" s="10"/>
      <c r="K79" s="10"/>
      <c r="L79" s="10"/>
      <c r="M79" s="10"/>
      <c r="N79" s="10"/>
    </row>
    <row r="80" spans="2:14" x14ac:dyDescent="0.25">
      <c r="B80" s="336" t="str">
        <f>'III. Data Inputs-BE'!B33</f>
        <v>January</v>
      </c>
      <c r="C80" s="296"/>
      <c r="D80" s="296"/>
      <c r="E80" s="367"/>
      <c r="F80" s="36"/>
      <c r="H80" s="41"/>
      <c r="I80" s="41"/>
      <c r="J80" s="10"/>
      <c r="K80" s="10"/>
      <c r="L80" s="10"/>
      <c r="M80" s="10"/>
      <c r="N80" s="10"/>
    </row>
    <row r="81" spans="2:16" x14ac:dyDescent="0.25">
      <c r="B81" s="336" t="str">
        <f>'III. Data Inputs-BE'!B34</f>
        <v>February</v>
      </c>
      <c r="C81" s="296"/>
      <c r="D81" s="296"/>
      <c r="E81" s="367"/>
      <c r="F81" s="36"/>
      <c r="G81" s="554" t="s">
        <v>229</v>
      </c>
      <c r="H81" s="574"/>
      <c r="I81" s="574"/>
      <c r="J81" s="574"/>
      <c r="K81" s="574"/>
      <c r="L81" s="10"/>
      <c r="M81" s="10"/>
      <c r="N81" s="10"/>
    </row>
    <row r="82" spans="2:16" x14ac:dyDescent="0.25">
      <c r="B82" s="336" t="str">
        <f>'III. Data Inputs-BE'!B35</f>
        <v>March</v>
      </c>
      <c r="C82" s="296"/>
      <c r="D82" s="296"/>
      <c r="E82" s="367"/>
      <c r="F82" s="36"/>
      <c r="G82" s="574"/>
      <c r="H82" s="574"/>
      <c r="I82" s="574"/>
      <c r="J82" s="574"/>
      <c r="K82" s="574"/>
      <c r="L82" s="10"/>
      <c r="M82" s="10"/>
      <c r="N82" s="10"/>
    </row>
    <row r="83" spans="2:16" x14ac:dyDescent="0.25">
      <c r="B83" s="336" t="str">
        <f>'III. Data Inputs-BE'!B36</f>
        <v>April</v>
      </c>
      <c r="C83" s="296"/>
      <c r="D83" s="296"/>
      <c r="E83" s="367"/>
      <c r="F83" s="36"/>
      <c r="G83" s="574"/>
      <c r="H83" s="574"/>
      <c r="I83" s="574"/>
      <c r="J83" s="574"/>
      <c r="K83" s="574"/>
      <c r="L83" s="10"/>
      <c r="M83" s="10"/>
      <c r="N83" s="10"/>
    </row>
    <row r="84" spans="2:16" x14ac:dyDescent="0.25">
      <c r="B84" s="336" t="str">
        <f>'III. Data Inputs-BE'!B37</f>
        <v>May</v>
      </c>
      <c r="C84" s="296"/>
      <c r="D84" s="296"/>
      <c r="E84" s="367"/>
      <c r="F84" s="36"/>
      <c r="G84" s="574"/>
      <c r="H84" s="574"/>
      <c r="I84" s="574"/>
      <c r="J84" s="574"/>
      <c r="K84" s="574"/>
      <c r="L84" s="10"/>
      <c r="M84" s="10"/>
      <c r="N84" s="10"/>
    </row>
    <row r="85" spans="2:16" x14ac:dyDescent="0.25">
      <c r="B85" s="336" t="str">
        <f>'III. Data Inputs-BE'!B38</f>
        <v>June</v>
      </c>
      <c r="C85" s="296"/>
      <c r="D85" s="296"/>
      <c r="E85" s="367"/>
      <c r="F85" s="36"/>
      <c r="G85" s="574"/>
      <c r="H85" s="574"/>
      <c r="I85" s="574"/>
      <c r="J85" s="574"/>
      <c r="K85" s="574"/>
      <c r="L85" s="10"/>
      <c r="M85" s="10"/>
      <c r="N85" s="10"/>
    </row>
    <row r="86" spans="2:16" x14ac:dyDescent="0.25">
      <c r="B86" s="336" t="str">
        <f>'III. Data Inputs-BE'!B39</f>
        <v>July</v>
      </c>
      <c r="C86" s="296"/>
      <c r="D86" s="296"/>
      <c r="E86" s="367"/>
      <c r="F86" s="36"/>
      <c r="G86" s="574"/>
      <c r="H86" s="574"/>
      <c r="I86" s="574"/>
      <c r="J86" s="574"/>
      <c r="K86" s="574"/>
      <c r="L86" s="10"/>
      <c r="M86" s="10"/>
      <c r="N86" s="10"/>
    </row>
    <row r="87" spans="2:16" x14ac:dyDescent="0.25">
      <c r="B87" s="336" t="str">
        <f>'III. Data Inputs-BE'!B40</f>
        <v>August</v>
      </c>
      <c r="C87" s="296"/>
      <c r="D87" s="296"/>
      <c r="E87" s="367"/>
      <c r="F87" s="36"/>
      <c r="G87" s="574"/>
      <c r="H87" s="574"/>
      <c r="I87" s="574"/>
      <c r="J87" s="574"/>
      <c r="K87" s="574"/>
      <c r="L87" s="10"/>
      <c r="M87" s="10"/>
      <c r="N87" s="10"/>
    </row>
    <row r="88" spans="2:16" x14ac:dyDescent="0.25">
      <c r="B88" s="336" t="str">
        <f>'III. Data Inputs-BE'!B41</f>
        <v>September</v>
      </c>
      <c r="C88" s="296"/>
      <c r="D88" s="296"/>
      <c r="E88" s="367"/>
      <c r="F88" s="36"/>
      <c r="G88" s="574"/>
      <c r="H88" s="574"/>
      <c r="I88" s="574"/>
      <c r="J88" s="574"/>
      <c r="K88" s="574"/>
      <c r="L88" s="10"/>
      <c r="M88" s="10"/>
      <c r="N88" s="10"/>
    </row>
    <row r="89" spans="2:16" x14ac:dyDescent="0.25">
      <c r="B89" s="336" t="str">
        <f>'III. Data Inputs-BE'!B42</f>
        <v>October</v>
      </c>
      <c r="C89" s="296"/>
      <c r="D89" s="296"/>
      <c r="E89" s="367"/>
      <c r="F89" s="36"/>
      <c r="G89" s="574"/>
      <c r="H89" s="574"/>
      <c r="I89" s="574"/>
      <c r="J89" s="574"/>
      <c r="K89" s="574"/>
      <c r="L89" s="10"/>
      <c r="M89" s="10"/>
      <c r="N89" s="10"/>
    </row>
    <row r="90" spans="2:16" x14ac:dyDescent="0.25">
      <c r="B90" s="336" t="str">
        <f>'III. Data Inputs-BE'!B43</f>
        <v>November</v>
      </c>
      <c r="C90" s="296"/>
      <c r="D90" s="296"/>
      <c r="E90" s="367"/>
      <c r="F90" s="36"/>
      <c r="G90" s="9"/>
      <c r="H90" s="9"/>
      <c r="I90" s="9"/>
      <c r="J90" s="9"/>
      <c r="K90" s="9"/>
      <c r="L90" s="10"/>
      <c r="M90" s="10"/>
      <c r="N90" s="10"/>
    </row>
    <row r="91" spans="2:16" x14ac:dyDescent="0.25">
      <c r="B91" s="336" t="str">
        <f>'III. Data Inputs-BE'!B44</f>
        <v>December</v>
      </c>
      <c r="C91" s="296"/>
      <c r="D91" s="296"/>
      <c r="E91" s="367"/>
      <c r="F91" s="36"/>
      <c r="G91" s="9"/>
      <c r="H91" s="9"/>
      <c r="I91" s="9"/>
      <c r="J91" s="9"/>
      <c r="K91" s="9"/>
      <c r="L91" s="10"/>
      <c r="M91" s="10"/>
      <c r="N91" s="10"/>
    </row>
    <row r="92" spans="2:16" x14ac:dyDescent="0.25">
      <c r="E92" s="41"/>
      <c r="H92" s="41"/>
      <c r="I92" s="41"/>
      <c r="J92" s="7"/>
      <c r="K92" s="7"/>
      <c r="L92" s="7"/>
      <c r="M92" s="7"/>
      <c r="N92" s="7"/>
    </row>
    <row r="93" spans="2:16" s="28" customFormat="1" ht="14.25" customHeight="1" x14ac:dyDescent="0.35">
      <c r="B93" s="12" t="s">
        <v>344</v>
      </c>
      <c r="F93" s="45"/>
      <c r="J93" s="31"/>
      <c r="K93" s="31"/>
      <c r="L93" s="31"/>
      <c r="M93" s="31"/>
      <c r="N93" s="31"/>
    </row>
    <row r="94" spans="2:16" ht="48" customHeight="1" x14ac:dyDescent="0.25">
      <c r="B94" s="555" t="s">
        <v>345</v>
      </c>
      <c r="C94" s="555"/>
      <c r="D94" s="555"/>
      <c r="E94" s="555"/>
      <c r="F94" s="555"/>
      <c r="G94" s="555"/>
      <c r="H94" s="41"/>
      <c r="I94" s="41"/>
      <c r="J94" s="10"/>
      <c r="K94" s="10"/>
      <c r="L94" s="10"/>
      <c r="M94" s="10"/>
      <c r="N94" s="10"/>
    </row>
    <row r="95" spans="2:16" ht="14.25" customHeight="1" x14ac:dyDescent="0.4">
      <c r="B95" s="128" t="s">
        <v>346</v>
      </c>
      <c r="C95" s="128" t="s">
        <v>347</v>
      </c>
      <c r="D95" s="365" t="s">
        <v>348</v>
      </c>
      <c r="E95" s="4"/>
      <c r="F95" s="575" t="s">
        <v>349</v>
      </c>
      <c r="G95" s="575"/>
      <c r="H95" s="36"/>
      <c r="I95" s="577" t="s">
        <v>229</v>
      </c>
      <c r="J95" s="577"/>
      <c r="K95" s="577"/>
      <c r="L95" s="577"/>
      <c r="M95" s="577"/>
      <c r="N95" s="10"/>
      <c r="O95" s="10"/>
      <c r="P95" s="10"/>
    </row>
    <row r="96" spans="2:16" ht="25" x14ac:dyDescent="0.25">
      <c r="B96" s="366" t="str">
        <f>'III. Data Inputs-BE'!B107</f>
        <v>Population 1</v>
      </c>
      <c r="C96" s="366">
        <f>HLOOKUP(B96, 'III. Data Inputs-BE'!$B$69:$L$82, 14, FALSE)</f>
        <v>1</v>
      </c>
      <c r="D96" s="367"/>
      <c r="E96" s="108"/>
      <c r="F96" s="294" t="s">
        <v>350</v>
      </c>
      <c r="G96" s="294" t="s">
        <v>351</v>
      </c>
      <c r="H96" s="36"/>
      <c r="I96" s="578"/>
      <c r="J96" s="578"/>
      <c r="K96" s="578"/>
      <c r="L96" s="578"/>
      <c r="M96" s="578"/>
      <c r="N96" s="10"/>
      <c r="O96" s="10"/>
      <c r="P96" s="10"/>
    </row>
    <row r="97" spans="1:16" x14ac:dyDescent="0.25">
      <c r="B97" s="366" t="str">
        <f>'III. Data Inputs-BE'!B108</f>
        <v>Population 2</v>
      </c>
      <c r="C97" s="366">
        <f>HLOOKUP(B97, 'III. Data Inputs-BE'!$B$69:$L$82, 14, FALSE)</f>
        <v>2</v>
      </c>
      <c r="D97" s="367"/>
      <c r="E97" s="108"/>
      <c r="F97" s="364" t="e">
        <f>SUMPRODUCT(C96:C105, D96:D105, 'III. Data Inputs-BE'!C107:C116)/SUMPRODUCT(C96:C105, D96:D105)</f>
        <v>#DIV/0!</v>
      </c>
      <c r="G97" s="328"/>
      <c r="H97" s="36"/>
      <c r="I97" s="578"/>
      <c r="J97" s="578"/>
      <c r="K97" s="578"/>
      <c r="L97" s="578"/>
      <c r="M97" s="578"/>
      <c r="N97" s="10"/>
      <c r="O97" s="10"/>
      <c r="P97" s="10"/>
    </row>
    <row r="98" spans="1:16" x14ac:dyDescent="0.25">
      <c r="B98" s="366" t="str">
        <f>'III. Data Inputs-BE'!B109</f>
        <v>Population 3</v>
      </c>
      <c r="C98" s="366">
        <f>HLOOKUP(B98, 'III. Data Inputs-BE'!$B$69:$L$82, 14, FALSE)</f>
        <v>0</v>
      </c>
      <c r="D98" s="367"/>
      <c r="E98" s="108"/>
      <c r="G98" s="380"/>
      <c r="H98" s="36"/>
      <c r="I98" s="578"/>
      <c r="J98" s="578"/>
      <c r="K98" s="578"/>
      <c r="L98" s="578"/>
      <c r="M98" s="578"/>
      <c r="N98" s="10"/>
      <c r="O98" s="10"/>
      <c r="P98" s="10"/>
    </row>
    <row r="99" spans="1:16" x14ac:dyDescent="0.25">
      <c r="B99" s="366" t="str">
        <f>'III. Data Inputs-BE'!B110</f>
        <v>Population 4</v>
      </c>
      <c r="C99" s="366">
        <f>HLOOKUP(B99, 'III. Data Inputs-BE'!$B$69:$L$82, 14, FALSE)</f>
        <v>0</v>
      </c>
      <c r="D99" s="367"/>
      <c r="E99" s="108"/>
      <c r="G99" s="380"/>
      <c r="H99" s="36"/>
      <c r="I99" s="578"/>
      <c r="J99" s="578"/>
      <c r="K99" s="578"/>
      <c r="L99" s="578"/>
      <c r="M99" s="578"/>
      <c r="N99" s="10"/>
      <c r="O99" s="10"/>
      <c r="P99" s="10"/>
    </row>
    <row r="100" spans="1:16" x14ac:dyDescent="0.25">
      <c r="B100" s="366" t="str">
        <f>'III. Data Inputs-BE'!B111</f>
        <v>Population 5</v>
      </c>
      <c r="C100" s="366">
        <f>HLOOKUP(B100, 'III. Data Inputs-BE'!$B$69:$L$82, 14, FALSE)</f>
        <v>0</v>
      </c>
      <c r="D100" s="367"/>
      <c r="E100" s="108"/>
      <c r="G100" s="380"/>
      <c r="H100" s="36"/>
      <c r="I100" s="578"/>
      <c r="J100" s="578"/>
      <c r="K100" s="578"/>
      <c r="L100" s="578"/>
      <c r="M100" s="578"/>
      <c r="N100" s="10"/>
      <c r="O100" s="10"/>
      <c r="P100" s="10"/>
    </row>
    <row r="101" spans="1:16" x14ac:dyDescent="0.25">
      <c r="B101" s="366" t="str">
        <f>'III. Data Inputs-BE'!B112</f>
        <v>Population 6</v>
      </c>
      <c r="C101" s="366">
        <f>HLOOKUP(B101, 'III. Data Inputs-BE'!$B$69:$L$82, 14, FALSE)</f>
        <v>0</v>
      </c>
      <c r="D101" s="367"/>
      <c r="E101" s="108"/>
      <c r="G101" s="380"/>
      <c r="H101" s="36"/>
      <c r="I101" s="578"/>
      <c r="J101" s="578"/>
      <c r="K101" s="578"/>
      <c r="L101" s="578"/>
      <c r="M101" s="578"/>
      <c r="N101" s="10"/>
      <c r="O101" s="10"/>
      <c r="P101" s="10"/>
    </row>
    <row r="102" spans="1:16" x14ac:dyDescent="0.25">
      <c r="B102" s="366" t="str">
        <f>'III. Data Inputs-BE'!B113</f>
        <v>Population 7</v>
      </c>
      <c r="C102" s="366">
        <f>HLOOKUP(B102, 'III. Data Inputs-BE'!$B$69:$L$82, 14, FALSE)</f>
        <v>0</v>
      </c>
      <c r="D102" s="367"/>
      <c r="E102" s="108"/>
      <c r="G102" s="380"/>
      <c r="H102" s="36"/>
      <c r="I102" s="578"/>
      <c r="J102" s="578"/>
      <c r="K102" s="578"/>
      <c r="L102" s="578"/>
      <c r="M102" s="578"/>
      <c r="N102" s="10"/>
      <c r="O102" s="10"/>
      <c r="P102" s="10"/>
    </row>
    <row r="103" spans="1:16" x14ac:dyDescent="0.25">
      <c r="B103" s="366" t="str">
        <f>'III. Data Inputs-BE'!B114</f>
        <v>Population 8</v>
      </c>
      <c r="C103" s="366">
        <f>HLOOKUP(B103, 'III. Data Inputs-BE'!$B$69:$L$82, 14, FALSE)</f>
        <v>0</v>
      </c>
      <c r="D103" s="367"/>
      <c r="E103" s="108"/>
      <c r="G103" s="380"/>
      <c r="H103" s="36"/>
      <c r="I103" s="578"/>
      <c r="J103" s="578"/>
      <c r="K103" s="578"/>
      <c r="L103" s="578"/>
      <c r="M103" s="578"/>
      <c r="N103" s="10"/>
      <c r="O103" s="10"/>
      <c r="P103" s="10"/>
    </row>
    <row r="104" spans="1:16" x14ac:dyDescent="0.25">
      <c r="B104" s="366" t="str">
        <f>'III. Data Inputs-BE'!B115</f>
        <v>Population 9</v>
      </c>
      <c r="C104" s="366">
        <f>HLOOKUP(B104, 'III. Data Inputs-BE'!$B$69:$L$82, 14, FALSE)</f>
        <v>0</v>
      </c>
      <c r="D104" s="367"/>
      <c r="E104" s="108"/>
      <c r="G104" s="380"/>
      <c r="H104" s="36"/>
      <c r="I104" s="578"/>
      <c r="J104" s="578"/>
      <c r="K104" s="578"/>
      <c r="L104" s="578"/>
      <c r="M104" s="578"/>
      <c r="N104" s="10"/>
      <c r="O104" s="10"/>
      <c r="P104" s="10"/>
    </row>
    <row r="105" spans="1:16" x14ac:dyDescent="0.25">
      <c r="B105" s="366" t="str">
        <f>'III. Data Inputs-BE'!B116</f>
        <v>Population 10</v>
      </c>
      <c r="C105" s="366">
        <f>HLOOKUP(B105, 'III. Data Inputs-BE'!$B$69:$L$82, 14, FALSE)</f>
        <v>0</v>
      </c>
      <c r="D105" s="367"/>
      <c r="E105" s="108"/>
      <c r="G105" s="380"/>
      <c r="H105" s="36"/>
      <c r="I105" s="578"/>
      <c r="J105" s="578"/>
      <c r="K105" s="578"/>
      <c r="L105" s="578"/>
      <c r="M105" s="578"/>
      <c r="N105" s="10"/>
      <c r="O105" s="10"/>
      <c r="P105" s="10"/>
    </row>
    <row r="106" spans="1:16" ht="15" customHeight="1" x14ac:dyDescent="0.3">
      <c r="A106" s="4"/>
      <c r="B106" s="4"/>
      <c r="C106" s="4"/>
      <c r="F106" s="46"/>
      <c r="G106" s="4"/>
      <c r="H106" s="10"/>
      <c r="I106" s="578"/>
      <c r="J106" s="578"/>
      <c r="K106" s="578"/>
      <c r="L106" s="578"/>
      <c r="M106" s="578"/>
    </row>
    <row r="107" spans="1:16" ht="15" customHeight="1" x14ac:dyDescent="0.4">
      <c r="A107" s="4"/>
      <c r="B107" s="567" t="s">
        <v>352</v>
      </c>
      <c r="C107" s="567"/>
      <c r="D107" s="567"/>
      <c r="E107" s="567"/>
      <c r="F107" s="567"/>
      <c r="G107" s="3"/>
      <c r="H107" s="10"/>
      <c r="I107" s="578"/>
      <c r="J107" s="578"/>
      <c r="K107" s="578"/>
      <c r="L107" s="578"/>
      <c r="M107" s="578"/>
    </row>
    <row r="108" spans="1:16" ht="15" customHeight="1" x14ac:dyDescent="0.3">
      <c r="A108" s="4"/>
      <c r="B108" s="267"/>
      <c r="C108" s="479"/>
      <c r="D108" s="567" t="s">
        <v>353</v>
      </c>
      <c r="E108" s="567"/>
      <c r="F108" s="567"/>
      <c r="G108" s="4"/>
      <c r="H108" s="10"/>
      <c r="I108" s="578"/>
      <c r="J108" s="578"/>
      <c r="K108" s="578"/>
      <c r="L108" s="578"/>
      <c r="M108" s="578"/>
    </row>
    <row r="109" spans="1:16" ht="15" customHeight="1" x14ac:dyDescent="0.3">
      <c r="A109" s="4"/>
      <c r="B109" s="478" t="s">
        <v>354</v>
      </c>
      <c r="C109" s="480" t="s">
        <v>355</v>
      </c>
      <c r="D109" s="390"/>
      <c r="E109" s="390"/>
      <c r="F109" s="390"/>
      <c r="G109" s="482" t="s">
        <v>356</v>
      </c>
      <c r="H109" s="10"/>
      <c r="I109" s="578"/>
      <c r="J109" s="578"/>
      <c r="K109" s="578"/>
      <c r="L109" s="578"/>
      <c r="M109" s="578"/>
    </row>
    <row r="110" spans="1:16" ht="15" customHeight="1" x14ac:dyDescent="0.3">
      <c r="A110" s="4"/>
      <c r="B110" s="481" t="str">
        <f>'III. Data Inputs-BE'!B33</f>
        <v>January</v>
      </c>
      <c r="C110" s="477">
        <v>1</v>
      </c>
      <c r="D110" s="328"/>
      <c r="E110" s="328"/>
      <c r="F110" s="328"/>
      <c r="G110" s="483">
        <f>SUM(C110:F110)</f>
        <v>1</v>
      </c>
      <c r="H110" s="10"/>
      <c r="I110" s="578"/>
      <c r="J110" s="578"/>
      <c r="K110" s="578"/>
      <c r="L110" s="578"/>
      <c r="M110" s="578"/>
    </row>
    <row r="111" spans="1:16" ht="15" customHeight="1" x14ac:dyDescent="0.3">
      <c r="A111" s="4"/>
      <c r="B111" s="312" t="str">
        <f>'III. Data Inputs-BE'!B34</f>
        <v>February</v>
      </c>
      <c r="C111" s="477">
        <v>1</v>
      </c>
      <c r="D111" s="328"/>
      <c r="E111" s="328"/>
      <c r="F111" s="328"/>
      <c r="G111" s="483">
        <f t="shared" ref="G111:G121" si="0">SUM(C111:F111)</f>
        <v>1</v>
      </c>
      <c r="H111" s="10"/>
      <c r="I111" s="578"/>
      <c r="J111" s="578"/>
      <c r="K111" s="578"/>
      <c r="L111" s="578"/>
      <c r="M111" s="578"/>
    </row>
    <row r="112" spans="1:16" ht="15" customHeight="1" x14ac:dyDescent="0.3">
      <c r="A112" s="4"/>
      <c r="B112" s="312" t="str">
        <f>'III. Data Inputs-BE'!B35</f>
        <v>March</v>
      </c>
      <c r="C112" s="477">
        <v>1</v>
      </c>
      <c r="D112" s="328"/>
      <c r="E112" s="328"/>
      <c r="F112" s="328"/>
      <c r="G112" s="483">
        <f t="shared" si="0"/>
        <v>1</v>
      </c>
      <c r="H112" s="10"/>
      <c r="I112" s="578"/>
      <c r="J112" s="578"/>
      <c r="K112" s="578"/>
      <c r="L112" s="578"/>
      <c r="M112" s="578"/>
    </row>
    <row r="113" spans="1:17" ht="15" customHeight="1" x14ac:dyDescent="0.3">
      <c r="A113" s="4"/>
      <c r="B113" s="312" t="str">
        <f>'III. Data Inputs-BE'!B36</f>
        <v>April</v>
      </c>
      <c r="C113" s="477">
        <v>1</v>
      </c>
      <c r="D113" s="328"/>
      <c r="E113" s="328"/>
      <c r="F113" s="328"/>
      <c r="G113" s="483">
        <f t="shared" si="0"/>
        <v>1</v>
      </c>
      <c r="H113" s="10"/>
      <c r="I113" s="578"/>
      <c r="J113" s="578"/>
      <c r="K113" s="578"/>
      <c r="L113" s="578"/>
      <c r="M113" s="578"/>
    </row>
    <row r="114" spans="1:17" ht="15" customHeight="1" x14ac:dyDescent="0.3">
      <c r="A114" s="4"/>
      <c r="B114" s="312" t="str">
        <f>'III. Data Inputs-BE'!B37</f>
        <v>May</v>
      </c>
      <c r="C114" s="477">
        <v>1</v>
      </c>
      <c r="D114" s="328"/>
      <c r="E114" s="328"/>
      <c r="F114" s="328"/>
      <c r="G114" s="483">
        <f t="shared" si="0"/>
        <v>1</v>
      </c>
      <c r="H114" s="10"/>
      <c r="I114" s="578"/>
      <c r="J114" s="578"/>
      <c r="K114" s="578"/>
      <c r="L114" s="578"/>
      <c r="M114" s="578"/>
    </row>
    <row r="115" spans="1:17" ht="15" customHeight="1" x14ac:dyDescent="0.3">
      <c r="A115" s="4"/>
      <c r="B115" s="312" t="str">
        <f>'III. Data Inputs-BE'!B38</f>
        <v>June</v>
      </c>
      <c r="C115" s="477">
        <v>1</v>
      </c>
      <c r="D115" s="328"/>
      <c r="E115" s="328"/>
      <c r="F115" s="328"/>
      <c r="G115" s="483">
        <f t="shared" si="0"/>
        <v>1</v>
      </c>
      <c r="H115" s="10"/>
      <c r="I115" s="578"/>
      <c r="J115" s="578"/>
      <c r="K115" s="578"/>
      <c r="L115" s="578"/>
      <c r="M115" s="578"/>
    </row>
    <row r="116" spans="1:17" ht="15" customHeight="1" x14ac:dyDescent="0.3">
      <c r="A116" s="4"/>
      <c r="B116" s="312" t="str">
        <f>'III. Data Inputs-BE'!B39</f>
        <v>July</v>
      </c>
      <c r="C116" s="477">
        <v>1</v>
      </c>
      <c r="D116" s="328"/>
      <c r="E116" s="328"/>
      <c r="F116" s="328"/>
      <c r="G116" s="483">
        <f t="shared" si="0"/>
        <v>1</v>
      </c>
      <c r="H116" s="10"/>
      <c r="I116" s="578"/>
      <c r="J116" s="578"/>
      <c r="K116" s="578"/>
      <c r="L116" s="578"/>
      <c r="M116" s="578"/>
    </row>
    <row r="117" spans="1:17" ht="15" customHeight="1" x14ac:dyDescent="0.3">
      <c r="A117" s="4"/>
      <c r="B117" s="312" t="str">
        <f>'III. Data Inputs-BE'!B40</f>
        <v>August</v>
      </c>
      <c r="C117" s="477">
        <v>1</v>
      </c>
      <c r="D117" s="328"/>
      <c r="E117" s="328"/>
      <c r="F117" s="328"/>
      <c r="G117" s="483">
        <f t="shared" si="0"/>
        <v>1</v>
      </c>
      <c r="H117" s="10"/>
      <c r="I117" s="578"/>
      <c r="J117" s="578"/>
      <c r="K117" s="578"/>
      <c r="L117" s="578"/>
      <c r="M117" s="578"/>
    </row>
    <row r="118" spans="1:17" ht="15" customHeight="1" x14ac:dyDescent="0.3">
      <c r="A118" s="4"/>
      <c r="B118" s="312" t="str">
        <f>'III. Data Inputs-BE'!B41</f>
        <v>September</v>
      </c>
      <c r="C118" s="477">
        <v>1</v>
      </c>
      <c r="D118" s="328"/>
      <c r="E118" s="328"/>
      <c r="F118" s="328"/>
      <c r="G118" s="483">
        <f t="shared" si="0"/>
        <v>1</v>
      </c>
      <c r="H118" s="10"/>
      <c r="I118" s="578"/>
      <c r="J118" s="578"/>
      <c r="K118" s="578"/>
      <c r="L118" s="578"/>
      <c r="M118" s="578"/>
    </row>
    <row r="119" spans="1:17" ht="15" customHeight="1" x14ac:dyDescent="0.3">
      <c r="A119" s="4"/>
      <c r="B119" s="312" t="str">
        <f>'III. Data Inputs-BE'!B42</f>
        <v>October</v>
      </c>
      <c r="C119" s="477">
        <v>1</v>
      </c>
      <c r="D119" s="328"/>
      <c r="E119" s="328"/>
      <c r="F119" s="328"/>
      <c r="G119" s="483">
        <f t="shared" si="0"/>
        <v>1</v>
      </c>
      <c r="H119" s="10"/>
      <c r="I119" s="578"/>
      <c r="J119" s="578"/>
      <c r="K119" s="578"/>
      <c r="L119" s="578"/>
      <c r="M119" s="578"/>
    </row>
    <row r="120" spans="1:17" ht="15" customHeight="1" x14ac:dyDescent="0.3">
      <c r="A120" s="4"/>
      <c r="B120" s="312" t="str">
        <f>'III. Data Inputs-BE'!B43</f>
        <v>November</v>
      </c>
      <c r="C120" s="477">
        <v>1</v>
      </c>
      <c r="D120" s="328"/>
      <c r="E120" s="328"/>
      <c r="F120" s="328"/>
      <c r="G120" s="483">
        <f t="shared" si="0"/>
        <v>1</v>
      </c>
      <c r="H120" s="10"/>
      <c r="I120" s="578"/>
      <c r="J120" s="578"/>
      <c r="K120" s="578"/>
      <c r="L120" s="578"/>
      <c r="M120" s="578"/>
    </row>
    <row r="121" spans="1:17" ht="15" customHeight="1" x14ac:dyDescent="0.3">
      <c r="A121" s="4"/>
      <c r="B121" s="312" t="str">
        <f>'III. Data Inputs-BE'!B44</f>
        <v>December</v>
      </c>
      <c r="C121" s="477">
        <v>1</v>
      </c>
      <c r="D121" s="328"/>
      <c r="E121" s="328"/>
      <c r="F121" s="328"/>
      <c r="G121" s="483">
        <f t="shared" si="0"/>
        <v>1</v>
      </c>
      <c r="H121" s="10"/>
      <c r="I121" s="578"/>
      <c r="J121" s="578"/>
      <c r="K121" s="578"/>
      <c r="L121" s="578"/>
      <c r="M121" s="578"/>
    </row>
    <row r="122" spans="1:17" ht="15" customHeight="1" x14ac:dyDescent="0.3">
      <c r="A122" s="4"/>
      <c r="B122" s="4"/>
      <c r="C122" s="4" t="s">
        <v>357</v>
      </c>
      <c r="D122" s="337" t="str">
        <f>IFERROR(INDEX('XIV. Reference Tables'!$B$430:$U$446, MATCH('IV. Data Inputs-PE'!D109, 'XIV. Reference Tables'!$B$430:$B$446,0),MATCH('III. Data Inputs-BE'!$C$20,'XIV. Reference Tables'!$B$430:$U$430,0)),"")</f>
        <v/>
      </c>
      <c r="E122" s="337" t="str">
        <f>IFERROR(INDEX('XIV. Reference Tables'!$B$430:$U$446, MATCH('IV. Data Inputs-PE'!E109, 'XIV. Reference Tables'!$B$430:$B$446,0),MATCH('III. Data Inputs-BE'!$C$20,'XIV. Reference Tables'!$B$430:$U$430,0)),"")</f>
        <v/>
      </c>
      <c r="F122" s="337" t="str">
        <f>IFERROR(INDEX('XIV. Reference Tables'!$B$430:$U$446, MATCH('IV. Data Inputs-PE'!F109, 'XIV. Reference Tables'!$B$430:$B$446,0),MATCH('III. Data Inputs-BE'!$C$20,'XIV. Reference Tables'!$B$430:$U$430,0)),"")</f>
        <v/>
      </c>
      <c r="G122" s="4"/>
    </row>
    <row r="123" spans="1:17" ht="32.25" customHeight="1" x14ac:dyDescent="0.3">
      <c r="A123" s="4"/>
      <c r="B123" s="571" t="s">
        <v>358</v>
      </c>
      <c r="C123" s="571"/>
      <c r="D123" s="571"/>
      <c r="E123" s="571"/>
      <c r="F123" s="571"/>
      <c r="G123" s="571"/>
    </row>
    <row r="124" spans="1:17" x14ac:dyDescent="0.25">
      <c r="C124" s="46"/>
      <c r="D124" s="46"/>
      <c r="E124" s="46"/>
      <c r="F124" s="46"/>
      <c r="G124" s="46"/>
      <c r="H124" s="46"/>
      <c r="I124" s="46"/>
      <c r="J124" s="46"/>
      <c r="K124" s="46"/>
      <c r="L124" s="46"/>
      <c r="M124" s="46"/>
    </row>
    <row r="125" spans="1:17" s="28" customFormat="1" ht="15" customHeight="1" x14ac:dyDescent="0.35">
      <c r="B125" s="12" t="s">
        <v>359</v>
      </c>
      <c r="C125" s="45"/>
      <c r="D125" s="45"/>
      <c r="E125" s="45"/>
      <c r="F125" s="45"/>
      <c r="G125" s="45"/>
      <c r="L125" s="45"/>
      <c r="M125" s="45"/>
    </row>
    <row r="126" spans="1:17" ht="60.75" customHeight="1" x14ac:dyDescent="0.25">
      <c r="B126" s="563" t="s">
        <v>360</v>
      </c>
      <c r="C126" s="563"/>
      <c r="D126" s="563"/>
      <c r="E126" s="563"/>
      <c r="F126" s="563"/>
      <c r="G126" s="46"/>
      <c r="H126" s="554" t="s">
        <v>229</v>
      </c>
      <c r="I126" s="554"/>
      <c r="J126" s="554"/>
      <c r="K126" s="554"/>
      <c r="L126" s="554"/>
    </row>
    <row r="127" spans="1:17" ht="13" thickBot="1" x14ac:dyDescent="0.3">
      <c r="G127" s="46"/>
      <c r="H127" s="554"/>
      <c r="I127" s="554"/>
      <c r="J127" s="554"/>
      <c r="K127" s="554"/>
      <c r="L127" s="554"/>
    </row>
    <row r="128" spans="1:17" ht="26.5" thickBot="1" x14ac:dyDescent="0.3">
      <c r="A128" s="47"/>
      <c r="B128" s="368" t="s">
        <v>361</v>
      </c>
      <c r="C128" s="372" t="s">
        <v>362</v>
      </c>
      <c r="E128" s="572" t="s">
        <v>363</v>
      </c>
      <c r="F128" s="573"/>
      <c r="G128" s="48"/>
      <c r="H128" s="554"/>
      <c r="I128" s="554"/>
      <c r="J128" s="554"/>
      <c r="K128" s="554"/>
      <c r="L128" s="554"/>
      <c r="N128" s="47"/>
      <c r="O128" s="47"/>
      <c r="P128" s="47"/>
      <c r="Q128" s="47"/>
    </row>
    <row r="129" spans="2:13" ht="13.5" thickBot="1" x14ac:dyDescent="0.35">
      <c r="B129" s="373"/>
      <c r="C129" s="366">
        <f>IF(B129&gt;0, VLOOKUP(B129, 'XIV. Reference Tables'!$B$430:$U$446, MATCH('III. Data Inputs-BE'!$C$20, 'XIV. Reference Tables'!$B$430:$U$430), FALSE), 0)</f>
        <v>0</v>
      </c>
      <c r="E129" s="49" t="s">
        <v>248</v>
      </c>
      <c r="F129" s="49" t="s">
        <v>364</v>
      </c>
      <c r="G129" s="46"/>
      <c r="H129" s="554"/>
      <c r="I129" s="554"/>
      <c r="J129" s="554"/>
      <c r="K129" s="554"/>
      <c r="L129" s="554"/>
    </row>
    <row r="130" spans="2:13" x14ac:dyDescent="0.25">
      <c r="B130" s="373"/>
      <c r="C130" s="366">
        <f>IF(B130&gt;0, VLOOKUP(B130, 'XIV. Reference Tables'!$B$430:$U$446, MATCH('III. Data Inputs-BE'!$C$20, 'XIV. Reference Tables'!$B$430:$U$430), FALSE), 0)</f>
        <v>0</v>
      </c>
      <c r="E130" s="319" t="s">
        <v>365</v>
      </c>
      <c r="F130" s="118" t="s">
        <v>251</v>
      </c>
      <c r="G130" s="46"/>
      <c r="H130" s="554"/>
      <c r="I130" s="554"/>
      <c r="J130" s="554"/>
      <c r="K130" s="554"/>
      <c r="L130" s="554"/>
    </row>
    <row r="131" spans="2:13" ht="26" x14ac:dyDescent="0.25">
      <c r="B131" s="368" t="s">
        <v>245</v>
      </c>
      <c r="C131" s="372" t="s">
        <v>366</v>
      </c>
      <c r="E131" s="316" t="s">
        <v>252</v>
      </c>
      <c r="F131" s="119" t="s">
        <v>253</v>
      </c>
      <c r="G131" s="26"/>
      <c r="H131" s="554"/>
      <c r="I131" s="554"/>
      <c r="J131" s="554"/>
      <c r="K131" s="554"/>
      <c r="L131" s="554"/>
    </row>
    <row r="132" spans="2:13" x14ac:dyDescent="0.25">
      <c r="B132" s="373"/>
      <c r="C132" s="366">
        <f>IF(B132&gt;0, VLOOKUP(B132, 'XIV. Reference Tables'!$B$430:$U$446, MATCH('III. Data Inputs-BE'!$C$20, 'XIV. Reference Tables'!$B$430:$U$430), FALSE), 0)</f>
        <v>0</v>
      </c>
      <c r="E132" s="320" t="s">
        <v>247</v>
      </c>
      <c r="F132" s="119" t="s">
        <v>254</v>
      </c>
      <c r="G132" s="46"/>
      <c r="H132" s="554"/>
      <c r="I132" s="554"/>
      <c r="J132" s="554"/>
      <c r="K132" s="554"/>
      <c r="L132" s="554"/>
    </row>
    <row r="133" spans="2:13" x14ac:dyDescent="0.25">
      <c r="B133" s="373"/>
      <c r="C133" s="366">
        <f>IF(B133&gt;0, VLOOKUP(B133, 'XIV. Reference Tables'!$B$430:$U$446, MATCH('III. Data Inputs-BE'!$C$20, 'XIV. Reference Tables'!$B$430:$U$430), FALSE), 0)</f>
        <v>0</v>
      </c>
      <c r="E133" s="50"/>
      <c r="F133" s="119" t="s">
        <v>255</v>
      </c>
      <c r="G133" s="46"/>
      <c r="H133" s="554"/>
      <c r="I133" s="554"/>
      <c r="J133" s="554"/>
      <c r="K133" s="554"/>
      <c r="L133" s="554"/>
    </row>
    <row r="134" spans="2:13" ht="25" x14ac:dyDescent="0.25">
      <c r="B134" s="373"/>
      <c r="C134" s="366">
        <f>IF(B134&gt;0, VLOOKUP(B134, 'XIV. Reference Tables'!$B$430:$U$446, MATCH('III. Data Inputs-BE'!$C$20, 'XIV. Reference Tables'!$B$430:$U$430), FALSE), 0)</f>
        <v>0</v>
      </c>
      <c r="E134" s="50"/>
      <c r="F134" s="119" t="s">
        <v>256</v>
      </c>
      <c r="G134" s="46"/>
      <c r="H134" s="554"/>
      <c r="I134" s="554"/>
      <c r="J134" s="554"/>
      <c r="K134" s="554"/>
      <c r="L134" s="554"/>
    </row>
    <row r="135" spans="2:13" ht="25" x14ac:dyDescent="0.25">
      <c r="B135" s="373"/>
      <c r="C135" s="366">
        <f>IF(B135&gt;0, VLOOKUP(B135, 'XIV. Reference Tables'!$B$430:$U$446, MATCH('III. Data Inputs-BE'!$C$20, 'XIV. Reference Tables'!$B$430:$U$430), FALSE), 0)</f>
        <v>0</v>
      </c>
      <c r="E135" s="50"/>
      <c r="F135" s="317" t="s">
        <v>257</v>
      </c>
      <c r="G135" s="46"/>
      <c r="H135" s="554"/>
      <c r="I135" s="554"/>
      <c r="J135" s="554"/>
      <c r="K135" s="554"/>
      <c r="L135" s="554"/>
    </row>
    <row r="136" spans="2:13" ht="25" x14ac:dyDescent="0.25">
      <c r="B136" s="373"/>
      <c r="C136" s="366">
        <f>IF(B136&gt;0, VLOOKUP(B136, 'XIV. Reference Tables'!$B$430:$U$446, MATCH('III. Data Inputs-BE'!$C$20, 'XIV. Reference Tables'!$B$430:$U$430), FALSE), 0)</f>
        <v>0</v>
      </c>
      <c r="E136" s="50"/>
      <c r="F136" s="119" t="s">
        <v>258</v>
      </c>
      <c r="G136" s="46"/>
      <c r="H136" s="554"/>
      <c r="I136" s="554"/>
      <c r="J136" s="554"/>
      <c r="K136" s="554"/>
      <c r="L136" s="554"/>
    </row>
    <row r="137" spans="2:13" ht="25" x14ac:dyDescent="0.25">
      <c r="B137" s="373"/>
      <c r="C137" s="366">
        <f>IF(B137&gt;0, VLOOKUP(B137, 'XIV. Reference Tables'!$B$430:$U$446, MATCH('III. Data Inputs-BE'!$C$20, 'XIV. Reference Tables'!$B$430:$U$430), FALSE), 0)</f>
        <v>0</v>
      </c>
      <c r="E137" s="50"/>
      <c r="F137" s="119" t="s">
        <v>259</v>
      </c>
      <c r="G137" s="46"/>
      <c r="H137" s="554"/>
      <c r="I137" s="554"/>
      <c r="J137" s="554"/>
      <c r="K137" s="554"/>
      <c r="L137" s="554"/>
    </row>
    <row r="138" spans="2:13" x14ac:dyDescent="0.25">
      <c r="B138" s="373"/>
      <c r="C138" s="366">
        <f>IF(B138&gt;0, VLOOKUP(B138, 'XIV. Reference Tables'!$B$430:$U$446, MATCH('III. Data Inputs-BE'!$C$20, 'XIV. Reference Tables'!$B$430:$U$430), FALSE), 0)</f>
        <v>0</v>
      </c>
      <c r="E138" s="50"/>
      <c r="F138" s="119" t="s">
        <v>260</v>
      </c>
      <c r="G138" s="46"/>
      <c r="H138" s="554"/>
      <c r="I138" s="554"/>
      <c r="J138" s="554"/>
      <c r="K138" s="554"/>
      <c r="L138" s="554"/>
    </row>
    <row r="139" spans="2:13" ht="25" x14ac:dyDescent="0.25">
      <c r="B139" s="373"/>
      <c r="C139" s="366">
        <f>IF(B139&gt;0, VLOOKUP(B139, 'XIV. Reference Tables'!$B$430:$U$446, MATCH('III. Data Inputs-BE'!$C$20, 'XIV. Reference Tables'!$B$430:$U$430), FALSE), 0)</f>
        <v>0</v>
      </c>
      <c r="E139" s="50"/>
      <c r="F139" s="119" t="s">
        <v>261</v>
      </c>
      <c r="G139" s="46"/>
      <c r="H139" s="554"/>
      <c r="I139" s="554"/>
      <c r="J139" s="554"/>
      <c r="K139" s="554"/>
      <c r="L139" s="554"/>
    </row>
    <row r="140" spans="2:13" x14ac:dyDescent="0.25">
      <c r="B140" s="373"/>
      <c r="C140" s="366">
        <f>IF(B140&gt;0, VLOOKUP(B140, 'XIV. Reference Tables'!$B$430:$U$446, MATCH('III. Data Inputs-BE'!$C$20, 'XIV. Reference Tables'!$B$430:$U$430), FALSE), 0)</f>
        <v>0</v>
      </c>
      <c r="E140" s="50"/>
      <c r="F140" s="119" t="s">
        <v>262</v>
      </c>
      <c r="G140" s="46"/>
      <c r="H140" s="554"/>
      <c r="I140" s="554"/>
      <c r="J140" s="554"/>
      <c r="K140" s="554"/>
      <c r="L140" s="554"/>
    </row>
    <row r="141" spans="2:13" ht="13" thickBot="1" x14ac:dyDescent="0.3">
      <c r="B141" s="373"/>
      <c r="C141" s="366">
        <f>IF(B141&gt;0, VLOOKUP(B141, 'XIV. Reference Tables'!$B$430:$U$446, MATCH('III. Data Inputs-BE'!$C$20, 'XIV. Reference Tables'!$B$430:$U$430), FALSE), 0)</f>
        <v>0</v>
      </c>
      <c r="E141" s="321"/>
      <c r="F141" s="120" t="s">
        <v>263</v>
      </c>
      <c r="G141" s="46"/>
      <c r="H141" s="554"/>
      <c r="I141" s="554"/>
      <c r="J141" s="554"/>
      <c r="K141" s="554"/>
      <c r="L141" s="554"/>
    </row>
    <row r="142" spans="2:13" x14ac:dyDescent="0.25">
      <c r="C142" s="51"/>
      <c r="D142" s="46"/>
      <c r="F142" s="46"/>
      <c r="G142" s="46"/>
      <c r="H142" s="46"/>
      <c r="I142" s="46"/>
      <c r="J142" s="46"/>
      <c r="K142" s="46"/>
      <c r="L142" s="46"/>
      <c r="M142" s="46"/>
    </row>
    <row r="143" spans="2:13" s="28" customFormat="1" ht="17.5" x14ac:dyDescent="0.45">
      <c r="B143" s="12" t="s">
        <v>367</v>
      </c>
      <c r="C143" s="45"/>
      <c r="D143" s="45"/>
      <c r="E143" s="45"/>
      <c r="F143" s="45"/>
      <c r="G143" s="45"/>
      <c r="H143" s="45"/>
      <c r="I143" s="45"/>
      <c r="J143" s="45"/>
      <c r="K143" s="45"/>
      <c r="L143" s="45"/>
      <c r="M143" s="45"/>
    </row>
    <row r="144" spans="2:13" ht="29.25" customHeight="1" x14ac:dyDescent="0.25">
      <c r="B144" s="568" t="s">
        <v>368</v>
      </c>
      <c r="C144" s="568"/>
      <c r="D144" s="568"/>
      <c r="E144" s="568"/>
      <c r="F144" s="568"/>
      <c r="G144" s="568"/>
      <c r="H144" s="568"/>
      <c r="I144" s="568"/>
      <c r="J144" s="568"/>
      <c r="K144" s="568"/>
      <c r="L144" s="568"/>
      <c r="M144" s="46"/>
    </row>
    <row r="145" spans="1:16" ht="26" x14ac:dyDescent="0.3">
      <c r="A145" s="4"/>
      <c r="B145" s="372" t="s">
        <v>278</v>
      </c>
      <c r="C145" s="395" t="str">
        <f>'III. Data Inputs-BE'!C69</f>
        <v>Population 1</v>
      </c>
      <c r="D145" s="395" t="str">
        <f>'III. Data Inputs-BE'!D69</f>
        <v>Population 2</v>
      </c>
      <c r="E145" s="395" t="str">
        <f>'III. Data Inputs-BE'!E69</f>
        <v>Population 3</v>
      </c>
      <c r="F145" s="395" t="str">
        <f>'III. Data Inputs-BE'!F69</f>
        <v>Population 4</v>
      </c>
      <c r="G145" s="395" t="str">
        <f>'III. Data Inputs-BE'!G69</f>
        <v>Population 5</v>
      </c>
      <c r="H145" s="395" t="str">
        <f>'III. Data Inputs-BE'!H69</f>
        <v>Population 6</v>
      </c>
      <c r="I145" s="395" t="str">
        <f>'III. Data Inputs-BE'!I69</f>
        <v>Population 7</v>
      </c>
      <c r="J145" s="395" t="str">
        <f>'III. Data Inputs-BE'!J69</f>
        <v>Population 8</v>
      </c>
      <c r="K145" s="395" t="str">
        <f>'III. Data Inputs-BE'!K69</f>
        <v>Population 9</v>
      </c>
      <c r="L145" s="395" t="str">
        <f>'III. Data Inputs-BE'!L69</f>
        <v>Population 10</v>
      </c>
      <c r="M145" s="52"/>
      <c r="N145" s="52"/>
      <c r="O145" s="4"/>
      <c r="P145" s="4"/>
    </row>
    <row r="146" spans="1:16" ht="13" x14ac:dyDescent="0.25">
      <c r="B146" s="375">
        <f>B129</f>
        <v>0</v>
      </c>
      <c r="C146" s="35"/>
      <c r="D146" s="35"/>
      <c r="E146" s="35"/>
      <c r="F146" s="35"/>
      <c r="G146" s="35"/>
      <c r="H146" s="35"/>
      <c r="I146" s="35"/>
      <c r="J146" s="35"/>
      <c r="K146" s="35"/>
      <c r="L146" s="35"/>
      <c r="M146" s="53"/>
      <c r="N146" s="53"/>
    </row>
    <row r="147" spans="1:16" ht="13" x14ac:dyDescent="0.25">
      <c r="B147" s="375">
        <f>B130</f>
        <v>0</v>
      </c>
      <c r="C147" s="35"/>
      <c r="D147" s="35"/>
      <c r="E147" s="35"/>
      <c r="F147" s="35"/>
      <c r="G147" s="35"/>
      <c r="H147" s="35"/>
      <c r="I147" s="35"/>
      <c r="J147" s="35"/>
      <c r="K147" s="35"/>
      <c r="L147" s="376"/>
      <c r="M147" s="53"/>
      <c r="N147" s="53"/>
    </row>
    <row r="148" spans="1:16" ht="13" x14ac:dyDescent="0.25">
      <c r="B148" s="54"/>
      <c r="C148" s="46"/>
      <c r="D148" s="46"/>
      <c r="E148" s="46"/>
      <c r="F148" s="46"/>
      <c r="G148" s="46"/>
      <c r="H148" s="46"/>
      <c r="I148" s="46"/>
      <c r="J148" s="46"/>
      <c r="K148" s="46"/>
      <c r="L148" s="377"/>
    </row>
    <row r="149" spans="1:16" ht="26" x14ac:dyDescent="0.3">
      <c r="A149" s="4"/>
      <c r="B149" s="372" t="s">
        <v>279</v>
      </c>
      <c r="C149" s="395" t="str">
        <f>C145</f>
        <v>Population 1</v>
      </c>
      <c r="D149" s="395" t="str">
        <f t="shared" ref="D149:L149" si="1">D145</f>
        <v>Population 2</v>
      </c>
      <c r="E149" s="395" t="str">
        <f t="shared" si="1"/>
        <v>Population 3</v>
      </c>
      <c r="F149" s="395" t="str">
        <f t="shared" si="1"/>
        <v>Population 4</v>
      </c>
      <c r="G149" s="395" t="str">
        <f t="shared" si="1"/>
        <v>Population 5</v>
      </c>
      <c r="H149" s="395" t="str">
        <f t="shared" si="1"/>
        <v>Population 6</v>
      </c>
      <c r="I149" s="395" t="str">
        <f t="shared" si="1"/>
        <v>Population 7</v>
      </c>
      <c r="J149" s="395" t="str">
        <f t="shared" si="1"/>
        <v>Population 8</v>
      </c>
      <c r="K149" s="395" t="str">
        <f t="shared" si="1"/>
        <v>Population 9</v>
      </c>
      <c r="L149" s="395" t="str">
        <f t="shared" si="1"/>
        <v>Population 10</v>
      </c>
      <c r="M149" s="52"/>
      <c r="N149" s="52"/>
      <c r="O149" s="4"/>
      <c r="P149" s="4"/>
    </row>
    <row r="150" spans="1:16" ht="13" x14ac:dyDescent="0.25">
      <c r="B150" s="375">
        <f t="shared" ref="B150:B159" si="2">B132</f>
        <v>0</v>
      </c>
      <c r="C150" s="35"/>
      <c r="D150" s="35"/>
      <c r="E150" s="35"/>
      <c r="F150" s="35"/>
      <c r="G150" s="35"/>
      <c r="H150" s="35"/>
      <c r="I150" s="35"/>
      <c r="J150" s="35"/>
      <c r="K150" s="35"/>
      <c r="L150" s="35"/>
      <c r="M150" s="53"/>
      <c r="N150" s="53"/>
    </row>
    <row r="151" spans="1:16" ht="13" x14ac:dyDescent="0.25">
      <c r="B151" s="375">
        <f>B133</f>
        <v>0</v>
      </c>
      <c r="C151" s="35"/>
      <c r="D151" s="35"/>
      <c r="E151" s="35"/>
      <c r="F151" s="35"/>
      <c r="G151" s="35"/>
      <c r="H151" s="35"/>
      <c r="I151" s="35"/>
      <c r="J151" s="35"/>
      <c r="K151" s="35"/>
      <c r="L151" s="35"/>
      <c r="M151" s="53"/>
      <c r="N151" s="53"/>
    </row>
    <row r="152" spans="1:16" ht="13" x14ac:dyDescent="0.25">
      <c r="B152" s="375">
        <f>B134</f>
        <v>0</v>
      </c>
      <c r="C152" s="35"/>
      <c r="D152" s="35"/>
      <c r="E152" s="35"/>
      <c r="F152" s="35"/>
      <c r="G152" s="35"/>
      <c r="H152" s="35"/>
      <c r="I152" s="35"/>
      <c r="J152" s="35"/>
      <c r="K152" s="35"/>
      <c r="L152" s="35"/>
      <c r="M152" s="53"/>
      <c r="N152" s="53"/>
    </row>
    <row r="153" spans="1:16" ht="13" x14ac:dyDescent="0.25">
      <c r="B153" s="375">
        <f t="shared" si="2"/>
        <v>0</v>
      </c>
      <c r="C153" s="35"/>
      <c r="D153" s="35"/>
      <c r="E153" s="35"/>
      <c r="F153" s="35"/>
      <c r="G153" s="35"/>
      <c r="H153" s="35"/>
      <c r="I153" s="35"/>
      <c r="J153" s="35"/>
      <c r="K153" s="35"/>
      <c r="L153" s="35"/>
      <c r="M153" s="53"/>
      <c r="N153" s="53"/>
    </row>
    <row r="154" spans="1:16" ht="13" x14ac:dyDescent="0.25">
      <c r="B154" s="375">
        <f t="shared" si="2"/>
        <v>0</v>
      </c>
      <c r="C154" s="35"/>
      <c r="D154" s="35"/>
      <c r="E154" s="35"/>
      <c r="F154" s="35"/>
      <c r="G154" s="35"/>
      <c r="H154" s="35"/>
      <c r="I154" s="35"/>
      <c r="J154" s="35"/>
      <c r="K154" s="35"/>
      <c r="L154" s="35"/>
      <c r="M154" s="53"/>
      <c r="N154" s="53"/>
    </row>
    <row r="155" spans="1:16" ht="13" x14ac:dyDescent="0.25">
      <c r="B155" s="375">
        <f t="shared" si="2"/>
        <v>0</v>
      </c>
      <c r="C155" s="35"/>
      <c r="D155" s="35"/>
      <c r="E155" s="35"/>
      <c r="F155" s="35"/>
      <c r="G155" s="35"/>
      <c r="H155" s="35"/>
      <c r="I155" s="35"/>
      <c r="J155" s="35"/>
      <c r="K155" s="35"/>
      <c r="L155" s="35"/>
      <c r="M155" s="53"/>
      <c r="N155" s="53"/>
    </row>
    <row r="156" spans="1:16" ht="13" x14ac:dyDescent="0.25">
      <c r="B156" s="375">
        <f t="shared" si="2"/>
        <v>0</v>
      </c>
      <c r="C156" s="35"/>
      <c r="D156" s="35"/>
      <c r="E156" s="35"/>
      <c r="F156" s="35"/>
      <c r="G156" s="35"/>
      <c r="H156" s="35"/>
      <c r="I156" s="35"/>
      <c r="J156" s="35"/>
      <c r="K156" s="35"/>
      <c r="L156" s="35"/>
      <c r="M156" s="53"/>
      <c r="N156" s="53"/>
    </row>
    <row r="157" spans="1:16" ht="13" x14ac:dyDescent="0.25">
      <c r="B157" s="375">
        <f t="shared" si="2"/>
        <v>0</v>
      </c>
      <c r="C157" s="35"/>
      <c r="D157" s="35"/>
      <c r="E157" s="35"/>
      <c r="F157" s="35"/>
      <c r="G157" s="35"/>
      <c r="H157" s="35"/>
      <c r="I157" s="35"/>
      <c r="J157" s="35"/>
      <c r="K157" s="35"/>
      <c r="L157" s="35"/>
      <c r="M157" s="53"/>
      <c r="N157" s="53"/>
    </row>
    <row r="158" spans="1:16" ht="13" x14ac:dyDescent="0.25">
      <c r="B158" s="375">
        <f t="shared" si="2"/>
        <v>0</v>
      </c>
      <c r="C158" s="35"/>
      <c r="D158" s="35"/>
      <c r="E158" s="35"/>
      <c r="F158" s="35"/>
      <c r="G158" s="35"/>
      <c r="H158" s="35"/>
      <c r="I158" s="35"/>
      <c r="J158" s="35"/>
      <c r="K158" s="35"/>
      <c r="L158" s="35"/>
      <c r="M158" s="53"/>
      <c r="N158" s="53"/>
    </row>
    <row r="159" spans="1:16" ht="13" x14ac:dyDescent="0.25">
      <c r="B159" s="375">
        <f t="shared" si="2"/>
        <v>0</v>
      </c>
      <c r="C159" s="35"/>
      <c r="D159" s="35"/>
      <c r="E159" s="35"/>
      <c r="F159" s="35"/>
      <c r="G159" s="35"/>
      <c r="H159" s="35"/>
      <c r="I159" s="35"/>
      <c r="J159" s="35"/>
      <c r="K159" s="35"/>
      <c r="L159" s="35"/>
      <c r="M159" s="53"/>
      <c r="N159" s="53"/>
    </row>
    <row r="160" spans="1:16" ht="13" x14ac:dyDescent="0.25">
      <c r="B160" s="54"/>
      <c r="C160" s="53"/>
      <c r="D160" s="53"/>
      <c r="E160" s="53"/>
      <c r="F160" s="53"/>
      <c r="G160" s="53"/>
      <c r="H160" s="53"/>
      <c r="I160" s="53"/>
      <c r="J160" s="53"/>
      <c r="K160" s="53"/>
      <c r="L160" s="53"/>
      <c r="M160" s="53"/>
      <c r="N160" s="53"/>
      <c r="O160" s="53"/>
    </row>
    <row r="161" spans="2:13" x14ac:dyDescent="0.25">
      <c r="C161" s="46"/>
      <c r="D161" s="46"/>
      <c r="E161" s="46"/>
      <c r="F161" s="46"/>
      <c r="G161" s="46"/>
      <c r="H161" s="46"/>
      <c r="I161" s="46"/>
      <c r="J161" s="46"/>
      <c r="K161" s="46"/>
      <c r="L161" s="46"/>
      <c r="M161" s="46"/>
    </row>
    <row r="162" spans="2:13" s="28" customFormat="1" ht="15.5" x14ac:dyDescent="0.35">
      <c r="B162" s="12" t="s">
        <v>369</v>
      </c>
      <c r="C162" s="55"/>
      <c r="E162" s="45"/>
      <c r="F162" s="45"/>
      <c r="G162" s="45"/>
      <c r="H162" s="45"/>
      <c r="I162" s="45"/>
      <c r="J162" s="45"/>
      <c r="K162" s="45"/>
      <c r="L162" s="45"/>
      <c r="M162" s="45"/>
    </row>
    <row r="163" spans="2:13" ht="21.75" customHeight="1" x14ac:dyDescent="0.25">
      <c r="B163" s="13" t="s">
        <v>370</v>
      </c>
      <c r="C163" s="51"/>
      <c r="D163" s="53"/>
      <c r="E163" s="46"/>
      <c r="F163" s="46"/>
      <c r="G163" s="46"/>
      <c r="H163" s="46"/>
      <c r="I163" s="46"/>
      <c r="J163" s="46"/>
      <c r="K163" s="46"/>
      <c r="L163" s="46"/>
      <c r="M163" s="46"/>
    </row>
    <row r="164" spans="2:13" x14ac:dyDescent="0.25">
      <c r="C164" s="46"/>
      <c r="D164" s="46"/>
      <c r="E164" s="46"/>
      <c r="F164" s="46"/>
      <c r="G164" s="46"/>
      <c r="H164" s="46"/>
      <c r="I164" s="46"/>
      <c r="J164" s="46"/>
      <c r="K164" s="46"/>
      <c r="L164" s="46"/>
      <c r="M164" s="46"/>
    </row>
    <row r="165" spans="2:13" x14ac:dyDescent="0.25">
      <c r="B165" s="554" t="s">
        <v>229</v>
      </c>
      <c r="C165" s="554"/>
      <c r="D165" s="554"/>
      <c r="E165" s="554"/>
      <c r="F165" s="8"/>
      <c r="G165" s="8"/>
      <c r="H165" s="8"/>
      <c r="I165" s="8"/>
      <c r="J165" s="8"/>
      <c r="K165" s="8"/>
      <c r="L165" s="8"/>
      <c r="M165" s="8"/>
    </row>
    <row r="166" spans="2:13" x14ac:dyDescent="0.25">
      <c r="B166" s="554"/>
      <c r="C166" s="554"/>
      <c r="D166" s="554"/>
      <c r="E166" s="554"/>
      <c r="F166" s="8"/>
      <c r="G166" s="8"/>
      <c r="H166" s="8"/>
      <c r="I166" s="8"/>
      <c r="J166" s="8"/>
      <c r="K166" s="8"/>
      <c r="L166" s="8"/>
      <c r="M166" s="8"/>
    </row>
    <row r="167" spans="2:13" x14ac:dyDescent="0.25">
      <c r="B167" s="554"/>
      <c r="C167" s="554"/>
      <c r="D167" s="554"/>
      <c r="E167" s="554"/>
      <c r="F167" s="8"/>
      <c r="G167" s="8"/>
      <c r="H167" s="8"/>
      <c r="I167" s="8"/>
      <c r="J167" s="8"/>
      <c r="K167" s="8"/>
      <c r="L167" s="8"/>
      <c r="M167" s="8"/>
    </row>
    <row r="168" spans="2:13" x14ac:dyDescent="0.25">
      <c r="B168" s="554"/>
      <c r="C168" s="554"/>
      <c r="D168" s="554"/>
      <c r="E168" s="554"/>
      <c r="F168" s="8"/>
      <c r="G168" s="8"/>
      <c r="H168" s="8"/>
      <c r="I168" s="8"/>
      <c r="J168" s="8"/>
      <c r="K168" s="8"/>
      <c r="L168" s="8"/>
      <c r="M168" s="8"/>
    </row>
    <row r="169" spans="2:13" x14ac:dyDescent="0.25">
      <c r="B169" s="554"/>
      <c r="C169" s="554"/>
      <c r="D169" s="554"/>
      <c r="E169" s="554"/>
      <c r="F169" s="8"/>
      <c r="G169" s="8"/>
      <c r="H169" s="8"/>
      <c r="I169" s="8"/>
      <c r="J169" s="8"/>
      <c r="K169" s="8"/>
      <c r="L169" s="8"/>
      <c r="M169" s="8"/>
    </row>
    <row r="170" spans="2:13" x14ac:dyDescent="0.25">
      <c r="B170" s="554"/>
      <c r="C170" s="554"/>
      <c r="D170" s="554"/>
      <c r="E170" s="554"/>
      <c r="F170" s="8"/>
      <c r="G170" s="8"/>
      <c r="H170" s="8"/>
      <c r="I170" s="8"/>
      <c r="J170" s="8"/>
      <c r="K170" s="8"/>
      <c r="L170" s="8"/>
      <c r="M170" s="8"/>
    </row>
    <row r="171" spans="2:13" x14ac:dyDescent="0.25">
      <c r="B171" s="554"/>
      <c r="C171" s="554"/>
      <c r="D171" s="554"/>
      <c r="E171" s="554"/>
      <c r="F171" s="8"/>
      <c r="G171" s="8"/>
      <c r="H171" s="8"/>
      <c r="I171" s="8"/>
      <c r="J171" s="8"/>
      <c r="K171" s="8"/>
      <c r="L171" s="8"/>
      <c r="M171" s="8"/>
    </row>
    <row r="172" spans="2:13" x14ac:dyDescent="0.25">
      <c r="B172" s="554"/>
      <c r="C172" s="554"/>
      <c r="D172" s="554"/>
      <c r="E172" s="554"/>
      <c r="F172" s="8"/>
      <c r="G172" s="8"/>
      <c r="H172" s="8"/>
      <c r="I172" s="8"/>
      <c r="J172" s="8"/>
      <c r="K172" s="8"/>
      <c r="L172" s="8"/>
      <c r="M172" s="8"/>
    </row>
    <row r="173" spans="2:13" x14ac:dyDescent="0.25">
      <c r="B173" s="554"/>
      <c r="C173" s="554"/>
      <c r="D173" s="554"/>
      <c r="E173" s="554"/>
      <c r="F173" s="8"/>
      <c r="G173" s="8"/>
      <c r="H173" s="8"/>
      <c r="I173" s="8"/>
      <c r="J173" s="8"/>
      <c r="K173" s="8"/>
      <c r="L173" s="8"/>
      <c r="M173" s="8"/>
    </row>
    <row r="174" spans="2:13" x14ac:dyDescent="0.25">
      <c r="B174" s="554"/>
      <c r="C174" s="554"/>
      <c r="D174" s="554"/>
      <c r="E174" s="554"/>
    </row>
    <row r="176" spans="2:13" s="28" customFormat="1" ht="15.5" x14ac:dyDescent="0.35">
      <c r="B176" s="12" t="s">
        <v>371</v>
      </c>
      <c r="C176" s="56"/>
      <c r="D176" s="56"/>
      <c r="E176" s="56"/>
      <c r="F176" s="30"/>
    </row>
    <row r="177" spans="2:8" ht="13" x14ac:dyDescent="0.3">
      <c r="B177" s="16"/>
      <c r="F177" s="41"/>
    </row>
    <row r="178" spans="2:8" ht="13" x14ac:dyDescent="0.3">
      <c r="B178" s="579" t="s">
        <v>372</v>
      </c>
      <c r="C178" s="562"/>
      <c r="D178" s="562"/>
      <c r="E178" s="562"/>
      <c r="F178" s="41"/>
    </row>
    <row r="179" spans="2:8" ht="36.75" customHeight="1" thickBot="1" x14ac:dyDescent="0.3">
      <c r="B179" s="555" t="s">
        <v>373</v>
      </c>
      <c r="C179" s="555"/>
      <c r="D179" s="555"/>
      <c r="E179" s="555"/>
      <c r="F179" s="34"/>
    </row>
    <row r="180" spans="2:8" ht="15" x14ac:dyDescent="0.4">
      <c r="B180" s="128" t="s">
        <v>285</v>
      </c>
      <c r="C180" s="128" t="s">
        <v>286</v>
      </c>
      <c r="D180" s="128" t="s">
        <v>287</v>
      </c>
      <c r="E180" s="128" t="s">
        <v>288</v>
      </c>
      <c r="F180" s="57"/>
      <c r="G180" s="339" t="s">
        <v>289</v>
      </c>
      <c r="H180" s="342"/>
    </row>
    <row r="181" spans="2:8" x14ac:dyDescent="0.25">
      <c r="B181" s="40"/>
      <c r="C181" s="35"/>
      <c r="D181" s="35"/>
      <c r="E181" s="337">
        <f>IF(ISBLANK(C181), 0, VLOOKUP(C181, 'XIV. Reference Tables'!$B$501:$D$507, 3, FALSE))</f>
        <v>0</v>
      </c>
      <c r="F181" s="41"/>
      <c r="G181" s="340" t="s">
        <v>290</v>
      </c>
      <c r="H181" s="343"/>
    </row>
    <row r="182" spans="2:8" x14ac:dyDescent="0.25">
      <c r="B182" s="40"/>
      <c r="C182" s="35"/>
      <c r="D182" s="35"/>
      <c r="E182" s="337">
        <f>IF(ISBLANK(C182), 0, VLOOKUP(C182, 'XIV. Reference Tables'!$B$501:$D$507, 3, FALSE))</f>
        <v>0</v>
      </c>
      <c r="F182" s="41"/>
      <c r="G182" s="340" t="s">
        <v>291</v>
      </c>
      <c r="H182" s="343"/>
    </row>
    <row r="183" spans="2:8" x14ac:dyDescent="0.25">
      <c r="B183" s="40"/>
      <c r="C183" s="35"/>
      <c r="D183" s="35"/>
      <c r="E183" s="337">
        <f>IF(ISBLANK(C183), 0, VLOOKUP(C183, 'XIV. Reference Tables'!$B$501:$D$507, 3, FALSE))</f>
        <v>0</v>
      </c>
      <c r="F183" s="41"/>
      <c r="G183" s="340" t="s">
        <v>292</v>
      </c>
      <c r="H183" s="343"/>
    </row>
    <row r="184" spans="2:8" x14ac:dyDescent="0.25">
      <c r="B184" s="40"/>
      <c r="C184" s="35"/>
      <c r="D184" s="35"/>
      <c r="E184" s="337">
        <f>IF(ISBLANK(C184), 0, VLOOKUP(C184, 'XIV. Reference Tables'!$B$501:$D$507, 3, FALSE))</f>
        <v>0</v>
      </c>
      <c r="F184" s="41"/>
      <c r="G184" s="340" t="s">
        <v>293</v>
      </c>
      <c r="H184" s="343"/>
    </row>
    <row r="185" spans="2:8" ht="15" x14ac:dyDescent="0.4">
      <c r="B185" s="128" t="s">
        <v>285</v>
      </c>
      <c r="C185" s="128" t="s">
        <v>294</v>
      </c>
      <c r="D185" s="128" t="s">
        <v>287</v>
      </c>
      <c r="E185" s="128" t="s">
        <v>288</v>
      </c>
      <c r="F185" s="41"/>
      <c r="G185" s="340" t="s">
        <v>295</v>
      </c>
      <c r="H185" s="343"/>
    </row>
    <row r="186" spans="2:8" ht="13" thickBot="1" x14ac:dyDescent="0.3">
      <c r="B186" s="40"/>
      <c r="C186" s="35"/>
      <c r="D186" s="35"/>
      <c r="E186" s="378"/>
      <c r="F186" s="41"/>
      <c r="G186" s="341" t="s">
        <v>296</v>
      </c>
      <c r="H186" s="344"/>
    </row>
    <row r="187" spans="2:8" x14ac:dyDescent="0.25">
      <c r="B187" s="40"/>
      <c r="C187" s="35"/>
      <c r="D187" s="35"/>
      <c r="E187" s="378"/>
      <c r="F187" s="41"/>
    </row>
    <row r="188" spans="2:8" x14ac:dyDescent="0.25">
      <c r="B188" s="40"/>
      <c r="C188" s="35"/>
      <c r="D188" s="35"/>
      <c r="E188" s="378"/>
      <c r="F188" s="41"/>
    </row>
    <row r="189" spans="2:8" x14ac:dyDescent="0.25">
      <c r="B189" s="40"/>
      <c r="C189" s="35"/>
      <c r="D189" s="35"/>
      <c r="E189" s="378"/>
      <c r="F189" s="41"/>
    </row>
    <row r="190" spans="2:8" x14ac:dyDescent="0.25">
      <c r="B190" s="40"/>
      <c r="C190" s="35"/>
      <c r="D190" s="35"/>
      <c r="E190" s="378"/>
      <c r="F190" s="41"/>
    </row>
    <row r="191" spans="2:8" x14ac:dyDescent="0.25">
      <c r="F191" s="41"/>
    </row>
    <row r="192" spans="2:8" ht="13" x14ac:dyDescent="0.3">
      <c r="B192" s="579" t="s">
        <v>374</v>
      </c>
      <c r="C192" s="562"/>
      <c r="D192" s="562"/>
      <c r="E192" s="562"/>
      <c r="F192" s="41"/>
    </row>
    <row r="193" spans="2:13" x14ac:dyDescent="0.25">
      <c r="B193" s="555" t="s">
        <v>375</v>
      </c>
      <c r="C193" s="555"/>
      <c r="D193" s="555"/>
      <c r="E193" s="555"/>
      <c r="F193" s="36"/>
    </row>
    <row r="194" spans="2:13" ht="36.75" customHeight="1" x14ac:dyDescent="0.4">
      <c r="B194" s="128" t="s">
        <v>299</v>
      </c>
      <c r="C194" s="128" t="s">
        <v>286</v>
      </c>
      <c r="D194" s="128" t="s">
        <v>300</v>
      </c>
      <c r="E194" s="128" t="s">
        <v>301</v>
      </c>
      <c r="F194" s="57"/>
    </row>
    <row r="195" spans="2:13" x14ac:dyDescent="0.25">
      <c r="B195" s="40"/>
      <c r="C195" s="35"/>
      <c r="D195" s="35"/>
      <c r="E195" s="337">
        <f>IF(ISBLANK(C195), 0, VLOOKUP(C195, 'XIV. Reference Tables'!$B$501:$D$507, 2, FALSE))</f>
        <v>0</v>
      </c>
      <c r="F195" s="41"/>
    </row>
    <row r="196" spans="2:13" x14ac:dyDescent="0.25">
      <c r="B196" s="40"/>
      <c r="C196" s="35"/>
      <c r="D196" s="35"/>
      <c r="E196" s="337">
        <f>IF(ISBLANK(C196), 0, VLOOKUP(C196, 'XIV. Reference Tables'!$B$501:$D$507, 2, FALSE))</f>
        <v>0</v>
      </c>
      <c r="F196" s="41"/>
    </row>
    <row r="197" spans="2:13" x14ac:dyDescent="0.25">
      <c r="B197" s="40"/>
      <c r="C197" s="35"/>
      <c r="D197" s="35"/>
      <c r="E197" s="337">
        <f>IF(ISBLANK(C197), 0, VLOOKUP(C197, 'XIV. Reference Tables'!$B$501:$D$507, 2, FALSE))</f>
        <v>0</v>
      </c>
      <c r="F197" s="41"/>
    </row>
    <row r="198" spans="2:13" x14ac:dyDescent="0.25">
      <c r="B198" s="40"/>
      <c r="C198" s="35"/>
      <c r="D198" s="35"/>
      <c r="E198" s="337">
        <f>IF(ISBLANK(C198), 0, VLOOKUP(C198, 'XIV. Reference Tables'!$B$501:$D$507, 2, FALSE))</f>
        <v>0</v>
      </c>
      <c r="F198" s="41"/>
    </row>
    <row r="199" spans="2:13" ht="15" x14ac:dyDescent="0.4">
      <c r="B199" s="128" t="s">
        <v>299</v>
      </c>
      <c r="C199" s="128" t="s">
        <v>294</v>
      </c>
      <c r="D199" s="128" t="s">
        <v>300</v>
      </c>
      <c r="E199" s="128" t="s">
        <v>301</v>
      </c>
      <c r="F199" s="41"/>
    </row>
    <row r="200" spans="2:13" x14ac:dyDescent="0.25">
      <c r="B200" s="40"/>
      <c r="C200" s="35"/>
      <c r="D200" s="35"/>
      <c r="E200" s="378"/>
      <c r="F200" s="41"/>
    </row>
    <row r="201" spans="2:13" x14ac:dyDescent="0.25">
      <c r="B201" s="40"/>
      <c r="C201" s="35"/>
      <c r="D201" s="35"/>
      <c r="E201" s="378"/>
      <c r="F201" s="41"/>
    </row>
    <row r="202" spans="2:13" x14ac:dyDescent="0.25">
      <c r="B202" s="40"/>
      <c r="C202" s="35"/>
      <c r="D202" s="35"/>
      <c r="E202" s="378"/>
      <c r="F202" s="41"/>
    </row>
    <row r="203" spans="2:13" x14ac:dyDescent="0.25">
      <c r="B203" s="40"/>
      <c r="C203" s="35"/>
      <c r="D203" s="35"/>
      <c r="E203" s="378"/>
      <c r="F203" s="41"/>
    </row>
    <row r="204" spans="2:13" x14ac:dyDescent="0.25">
      <c r="B204" s="40"/>
      <c r="C204" s="35"/>
      <c r="D204" s="35"/>
      <c r="E204" s="378"/>
      <c r="F204" s="41"/>
    </row>
    <row r="205" spans="2:13" ht="13" x14ac:dyDescent="0.3">
      <c r="B205" s="3"/>
      <c r="F205" s="58"/>
    </row>
    <row r="206" spans="2:13" ht="17.25" customHeight="1" x14ac:dyDescent="0.3">
      <c r="B206" s="580" t="s">
        <v>376</v>
      </c>
      <c r="C206" s="580"/>
      <c r="D206" s="580"/>
      <c r="E206" s="580"/>
      <c r="F206" s="58"/>
    </row>
    <row r="207" spans="2:13" ht="13" x14ac:dyDescent="0.3">
      <c r="B207" s="555" t="s">
        <v>377</v>
      </c>
      <c r="C207" s="555"/>
      <c r="D207" s="555"/>
      <c r="E207" s="555"/>
      <c r="F207" s="59"/>
      <c r="G207" s="46"/>
      <c r="H207" s="46"/>
      <c r="I207" s="46"/>
      <c r="J207" s="46"/>
      <c r="K207" s="46"/>
      <c r="L207" s="46"/>
      <c r="M207" s="46"/>
    </row>
    <row r="208" spans="2:13" s="47" customFormat="1" ht="27.75" customHeight="1" x14ac:dyDescent="0.25">
      <c r="B208" s="369" t="s">
        <v>305</v>
      </c>
      <c r="C208" s="369" t="s">
        <v>306</v>
      </c>
      <c r="D208" s="369" t="s">
        <v>307</v>
      </c>
      <c r="E208" s="369" t="s">
        <v>308</v>
      </c>
      <c r="F208" s="230"/>
      <c r="G208" s="48"/>
      <c r="H208" s="48"/>
      <c r="I208" s="48"/>
      <c r="J208" s="48"/>
      <c r="K208" s="48"/>
      <c r="L208" s="48"/>
      <c r="M208" s="48"/>
    </row>
    <row r="209" spans="1:41" s="60" customFormat="1" x14ac:dyDescent="0.25">
      <c r="A209" s="13"/>
      <c r="B209" s="35"/>
      <c r="C209" s="35"/>
      <c r="D209" s="129"/>
      <c r="E209" s="130"/>
      <c r="F209" s="41"/>
      <c r="G209" s="46"/>
      <c r="H209" s="46"/>
      <c r="I209" s="46"/>
      <c r="J209" s="46"/>
      <c r="K209" s="46"/>
      <c r="L209" s="46"/>
      <c r="M209" s="46"/>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3"/>
      <c r="AL209" s="13"/>
      <c r="AM209" s="13"/>
      <c r="AN209" s="13"/>
      <c r="AO209" s="13"/>
    </row>
    <row r="210" spans="1:41" s="60" customFormat="1" x14ac:dyDescent="0.25">
      <c r="A210" s="13"/>
      <c r="B210" s="13" t="s">
        <v>309</v>
      </c>
      <c r="C210" s="13"/>
      <c r="D210" s="13"/>
      <c r="E210" s="13"/>
      <c r="F210" s="41"/>
      <c r="G210" s="46"/>
      <c r="H210" s="46"/>
      <c r="I210" s="46"/>
      <c r="J210" s="46"/>
      <c r="K210" s="46"/>
      <c r="L210" s="46"/>
      <c r="M210" s="46"/>
      <c r="N210" s="13"/>
      <c r="O210" s="13"/>
      <c r="P210" s="13"/>
      <c r="Q210" s="13"/>
      <c r="R210" s="13"/>
      <c r="S210" s="13"/>
      <c r="T210" s="13"/>
      <c r="U210" s="13"/>
      <c r="V210" s="13"/>
      <c r="W210" s="13"/>
      <c r="X210" s="13"/>
      <c r="Y210" s="13"/>
      <c r="Z210" s="13"/>
      <c r="AA210" s="13"/>
      <c r="AB210" s="13"/>
      <c r="AC210" s="13"/>
      <c r="AD210" s="13"/>
      <c r="AE210" s="13"/>
      <c r="AF210" s="13"/>
      <c r="AG210" s="13"/>
      <c r="AH210" s="13"/>
      <c r="AI210" s="13"/>
      <c r="AJ210" s="13"/>
      <c r="AK210" s="13"/>
      <c r="AL210" s="13"/>
      <c r="AM210" s="13"/>
      <c r="AN210" s="13"/>
      <c r="AO210" s="13"/>
    </row>
    <row r="211" spans="1:41" x14ac:dyDescent="0.25">
      <c r="B211" s="13" t="s">
        <v>310</v>
      </c>
      <c r="F211" s="41"/>
    </row>
    <row r="214" spans="1:41" x14ac:dyDescent="0.25">
      <c r="B214" s="554" t="s">
        <v>229</v>
      </c>
      <c r="C214" s="554"/>
      <c r="D214" s="554"/>
      <c r="E214" s="554"/>
    </row>
    <row r="215" spans="1:41" x14ac:dyDescent="0.25">
      <c r="B215" s="554"/>
      <c r="C215" s="554"/>
      <c r="D215" s="554"/>
      <c r="E215" s="554"/>
    </row>
    <row r="216" spans="1:41" x14ac:dyDescent="0.25">
      <c r="B216" s="554"/>
      <c r="C216" s="554"/>
      <c r="D216" s="554"/>
      <c r="E216" s="554"/>
    </row>
    <row r="217" spans="1:41" x14ac:dyDescent="0.25">
      <c r="B217" s="554"/>
      <c r="C217" s="554"/>
      <c r="D217" s="554"/>
      <c r="E217" s="554"/>
    </row>
    <row r="218" spans="1:41" x14ac:dyDescent="0.25">
      <c r="B218" s="554"/>
      <c r="C218" s="554"/>
      <c r="D218" s="554"/>
      <c r="E218" s="554"/>
    </row>
    <row r="219" spans="1:41" x14ac:dyDescent="0.25">
      <c r="B219" s="554"/>
      <c r="C219" s="554"/>
      <c r="D219" s="554"/>
      <c r="E219" s="554"/>
    </row>
    <row r="220" spans="1:41" x14ac:dyDescent="0.25">
      <c r="B220" s="554"/>
      <c r="C220" s="554"/>
      <c r="D220" s="554"/>
      <c r="E220" s="554"/>
    </row>
    <row r="221" spans="1:41" x14ac:dyDescent="0.25">
      <c r="B221" s="554"/>
      <c r="C221" s="554"/>
      <c r="D221" s="554"/>
      <c r="E221" s="554"/>
    </row>
    <row r="222" spans="1:41" x14ac:dyDescent="0.25">
      <c r="B222" s="554"/>
      <c r="C222" s="554"/>
      <c r="D222" s="554"/>
      <c r="E222" s="554"/>
    </row>
    <row r="223" spans="1:41" x14ac:dyDescent="0.25">
      <c r="B223" s="554"/>
      <c r="C223" s="554"/>
      <c r="D223" s="554"/>
      <c r="E223" s="554"/>
    </row>
    <row r="224" spans="1:41" x14ac:dyDescent="0.25">
      <c r="B224" s="554"/>
      <c r="C224" s="554"/>
      <c r="D224" s="554"/>
      <c r="E224" s="554"/>
    </row>
    <row r="225" spans="2:5" x14ac:dyDescent="0.25">
      <c r="B225" s="554"/>
      <c r="C225" s="554"/>
      <c r="D225" s="554"/>
      <c r="E225" s="554"/>
    </row>
    <row r="226" spans="2:5" x14ac:dyDescent="0.25">
      <c r="B226" s="554"/>
      <c r="C226" s="554"/>
      <c r="D226" s="554"/>
      <c r="E226" s="554"/>
    </row>
    <row r="227" spans="2:5" x14ac:dyDescent="0.25">
      <c r="B227" s="554"/>
      <c r="C227" s="554"/>
      <c r="D227" s="554"/>
      <c r="E227" s="554"/>
    </row>
    <row r="228" spans="2:5" x14ac:dyDescent="0.25">
      <c r="B228" s="554"/>
      <c r="C228" s="554"/>
      <c r="D228" s="554"/>
      <c r="E228" s="554"/>
    </row>
    <row r="229" spans="2:5" x14ac:dyDescent="0.25">
      <c r="B229" s="554"/>
      <c r="C229" s="554"/>
      <c r="D229" s="554"/>
      <c r="E229" s="554"/>
    </row>
    <row r="230" spans="2:5" x14ac:dyDescent="0.25">
      <c r="B230" s="554"/>
      <c r="C230" s="554"/>
      <c r="D230" s="554"/>
      <c r="E230" s="554"/>
    </row>
    <row r="231" spans="2:5" x14ac:dyDescent="0.25">
      <c r="B231" s="554"/>
      <c r="C231" s="554"/>
      <c r="D231" s="554"/>
      <c r="E231" s="554"/>
    </row>
    <row r="232" spans="2:5" x14ac:dyDescent="0.25">
      <c r="B232" s="554"/>
      <c r="C232" s="554"/>
      <c r="D232" s="554"/>
      <c r="E232" s="554"/>
    </row>
    <row r="233" spans="2:5" x14ac:dyDescent="0.25">
      <c r="B233" s="554"/>
      <c r="C233" s="554"/>
      <c r="D233" s="554"/>
      <c r="E233" s="554"/>
    </row>
  </sheetData>
  <sheetProtection algorithmName="SHA-512" hashValue="IpE5vK0wr8EgDE5pVmuImTpZ0cLIXNpEKoc8CgaZEDKbf5LzDKBIyEEBvpHdgv+NI7QT9K0il52TVdttlB8VXA==" saltValue="AHNUHvu6IYdrXi67V6cFww==" spinCount="100000" sheet="1" objects="1" scenarios="1"/>
  <customSheetViews>
    <customSheetView guid="{A6F5A5FB-2E6E-47D3-842C-0D3D06DB341A}" scale="70">
      <selection activeCell="B14" sqref="B14:D14"/>
      <pageMargins left="0" right="0" top="0" bottom="0" header="0" footer="0"/>
      <pageSetup orientation="portrait" r:id="rId1"/>
      <headerFooter alignWithMargins="0"/>
    </customSheetView>
  </customSheetViews>
  <mergeCells count="36">
    <mergeCell ref="D108:F108"/>
    <mergeCell ref="B107:F107"/>
    <mergeCell ref="H45:K57"/>
    <mergeCell ref="E63:F75"/>
    <mergeCell ref="B78:E78"/>
    <mergeCell ref="B43:D43"/>
    <mergeCell ref="B42:C42"/>
    <mergeCell ref="B13:I13"/>
    <mergeCell ref="B15:E15"/>
    <mergeCell ref="G16:K28"/>
    <mergeCell ref="B40:D40"/>
    <mergeCell ref="B32:D32"/>
    <mergeCell ref="B35:C35"/>
    <mergeCell ref="B30:J30"/>
    <mergeCell ref="B214:E233"/>
    <mergeCell ref="B178:E178"/>
    <mergeCell ref="B192:E192"/>
    <mergeCell ref="B207:E207"/>
    <mergeCell ref="B193:E193"/>
    <mergeCell ref="B206:E206"/>
    <mergeCell ref="B144:L144"/>
    <mergeCell ref="B165:E174"/>
    <mergeCell ref="B179:E179"/>
    <mergeCell ref="B33:D33"/>
    <mergeCell ref="B62:D62"/>
    <mergeCell ref="B61:D61"/>
    <mergeCell ref="B123:G123"/>
    <mergeCell ref="B126:F126"/>
    <mergeCell ref="E128:F128"/>
    <mergeCell ref="G81:K89"/>
    <mergeCell ref="H126:L141"/>
    <mergeCell ref="B94:G94"/>
    <mergeCell ref="F95:G95"/>
    <mergeCell ref="F32:I37"/>
    <mergeCell ref="B36:D37"/>
    <mergeCell ref="I95:M121"/>
  </mergeCells>
  <phoneticPr fontId="2" type="noConversion"/>
  <conditionalFormatting sqref="G110:G121">
    <cfRule type="cellIs" dxfId="2" priority="1" operator="equal">
      <formula>1</formula>
    </cfRule>
    <cfRule type="cellIs" dxfId="1" priority="2" operator="lessThan">
      <formula>1</formula>
    </cfRule>
    <cfRule type="cellIs" dxfId="0" priority="3" operator="greaterThan">
      <formula>1</formula>
    </cfRule>
  </conditionalFormatting>
  <dataValidations count="17">
    <dataValidation type="decimal" allowBlank="1" showInputMessage="1" showErrorMessage="1" error="Must input percentage as a decimal (0-1)!_x000a_" prompt="Input percentage as a decimal (0-1)" sqref="C150:L160 M160:O160 M150:N159" xr:uid="{00000000-0002-0000-0300-000000000000}">
      <formula1>0</formula1>
      <formula2>1</formula2>
    </dataValidation>
    <dataValidation type="decimal" allowBlank="1" showInputMessage="1" showErrorMessage="1" error="Must input percentage as a decimal (0-1)" prompt="Input percentage as a decimal (0-1)" sqref="C146:N147" xr:uid="{00000000-0002-0000-0300-000001000000}">
      <formula1>0</formula1>
      <formula2>1</formula2>
    </dataValidation>
    <dataValidation type="decimal" allowBlank="1" showInputMessage="1" showErrorMessage="1" error="You must enter the fraction as a decimal_x000a_" prompt="Enter the fraction as a decimal" sqref="D96:D105" xr:uid="{00000000-0002-0000-0300-000002000000}">
      <formula1>0</formula1>
      <formula2>1</formula2>
    </dataValidation>
    <dataValidation type="decimal" allowBlank="1" showInputMessage="1" showErrorMessage="1" error="Must enter fraction as a decimal" prompt="Enter fraction as a decimal" sqref="F46:F57" xr:uid="{00000000-0002-0000-0300-000003000000}">
      <formula1>0</formula1>
      <formula2>1</formula2>
    </dataValidation>
    <dataValidation type="list" allowBlank="1" showErrorMessage="1" error="you must enter a y or n" prompt="enter either a &quot;y&quot; or &quot;n&quot;" sqref="D42" xr:uid="{00000000-0002-0000-0300-000004000000}">
      <formula1>"Yes, No"</formula1>
    </dataValidation>
    <dataValidation type="decimal" allowBlank="1" showInputMessage="1" showErrorMessage="1" error="Must enter % as a decimal from 0-1" prompt="Input as a decimal from 0-1" sqref="E17:E28" xr:uid="{00000000-0002-0000-0300-000005000000}">
      <formula1>0</formula1>
      <formula2>1</formula2>
    </dataValidation>
    <dataValidation type="list" allowBlank="1" showErrorMessage="1" error="You must enter either a &quot;y&quot; or &quot;n&quot;_x000a_" prompt="Selec_x000a_" sqref="D35" xr:uid="{00000000-0002-0000-0300-000006000000}">
      <formula1>"Yes, No"</formula1>
    </dataValidation>
    <dataValidation type="decimal" allowBlank="1" showInputMessage="1" showErrorMessage="1" prompt="Enter number of days of venting for each month, using decimals for partial days." sqref="E80:E91" xr:uid="{00000000-0002-0000-0300-000007000000}">
      <formula1>0</formula1>
      <formula2>31</formula2>
    </dataValidation>
    <dataValidation type="list" allowBlank="1" showInputMessage="1" showErrorMessage="1" sqref="B129:B130" xr:uid="{00000000-0002-0000-0300-000008000000}">
      <formula1>$E$130:$E$132</formula1>
    </dataValidation>
    <dataValidation allowBlank="1" sqref="F97" xr:uid="{00000000-0002-0000-0300-000009000000}"/>
    <dataValidation type="decimal" allowBlank="1" showInputMessage="1" showErrorMessage="1" prompt="Enter value as a decimal. LEAVE BLANK if using default value." sqref="G97" xr:uid="{00000000-0002-0000-0300-00000A000000}">
      <formula1>0</formula1>
      <formula2>1</formula2>
    </dataValidation>
    <dataValidation type="list" allowBlank="1" showInputMessage="1" showErrorMessage="1" sqref="B132:B141" xr:uid="{00000000-0002-0000-0300-00000B000000}">
      <formula1>$F$130:$F$141</formula1>
    </dataValidation>
    <dataValidation type="list" allowBlank="1" showInputMessage="1" showErrorMessage="1" sqref="C195:C198" xr:uid="{00000000-0002-0000-0300-00000C000000}">
      <formula1>$G$181:$G$186</formula1>
    </dataValidation>
    <dataValidation type="list" allowBlank="1" showInputMessage="1" showErrorMessage="1" prompt="Select any non-anaerobic effluent treatment systems, if applicable" sqref="D109:F109" xr:uid="{00000000-0002-0000-0300-00000D000000}">
      <formula1>$F$130:$F$141</formula1>
    </dataValidation>
    <dataValidation allowBlank="1" showInputMessage="1" showErrorMessage="1" prompt="Enter fraction as a decimal" sqref="C110:F121" xr:uid="{00000000-0002-0000-0300-00000E000000}"/>
    <dataValidation allowBlank="1" showInputMessage="1" showErrorMessage="1" prompt="Leave blank if using default BCE." sqref="D17:D28" xr:uid="{00000000-0002-0000-0300-00000F000000}"/>
    <dataValidation type="list" allowBlank="1" showInputMessage="1" showErrorMessage="1" sqref="C181:C184" xr:uid="{00000000-0002-0000-0300-000010000000}">
      <formula1>$G$180:$G$185</formula1>
    </dataValidation>
  </dataValidations>
  <pageMargins left="0.75" right="0.75" top="1" bottom="1" header="0.5" footer="0.5"/>
  <pageSetup orientation="portrait" r:id="rId2"/>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11000000}">
          <x14:formula1>
            <xm:f>'XIV. Reference Tables'!$C$513:$C$538</xm:f>
          </x14:formula1>
          <xm:sqref>B209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CP511"/>
  <sheetViews>
    <sheetView showGridLines="0" topLeftCell="A18" zoomScale="73" zoomScaleNormal="73" workbookViewId="0">
      <selection activeCell="G22" sqref="G22"/>
    </sheetView>
  </sheetViews>
  <sheetFormatPr defaultColWidth="9.1796875" defaultRowHeight="12.5" x14ac:dyDescent="0.25"/>
  <cols>
    <col min="1" max="1" width="2.1796875" style="13" customWidth="1"/>
    <col min="2" max="2" width="25.81640625" style="47" customWidth="1"/>
    <col min="3" max="3" width="19.453125" style="13" customWidth="1"/>
    <col min="4" max="4" width="7.81640625" style="41" customWidth="1"/>
    <col min="5" max="5" width="19.26953125" style="41" customWidth="1"/>
    <col min="6" max="6" width="17.81640625" style="41" customWidth="1"/>
    <col min="7" max="7" width="32.453125" style="41" customWidth="1"/>
    <col min="8" max="8" width="16.7265625" style="41" customWidth="1"/>
    <col min="9" max="9" width="17.453125" style="41" customWidth="1"/>
    <col min="10" max="10" width="19.453125" style="41" customWidth="1"/>
    <col min="11" max="11" width="4.26953125" style="13" customWidth="1"/>
    <col min="12" max="12" width="4.453125" style="13" customWidth="1"/>
    <col min="13" max="13" width="3" style="13" customWidth="1"/>
    <col min="14" max="14" width="4.1796875" style="13" customWidth="1"/>
    <col min="15" max="15" width="3.1796875" style="13" customWidth="1"/>
    <col min="16" max="17" width="9.1796875" style="13" hidden="1" customWidth="1"/>
    <col min="18" max="19" width="9.1796875" style="13"/>
    <col min="20" max="20" width="5.7265625" style="13" customWidth="1"/>
    <col min="21" max="16384" width="9.1796875" style="13"/>
  </cols>
  <sheetData>
    <row r="1" spans="2:17" ht="13.5" thickBot="1" x14ac:dyDescent="0.3">
      <c r="B1" s="515" t="s">
        <v>0</v>
      </c>
    </row>
    <row r="2" spans="2:17" ht="13" x14ac:dyDescent="0.25">
      <c r="B2" s="515" t="s">
        <v>116</v>
      </c>
      <c r="F2" s="131"/>
      <c r="G2" s="131"/>
      <c r="H2" s="51"/>
      <c r="I2" s="51"/>
      <c r="J2" s="51"/>
      <c r="K2" s="51"/>
      <c r="L2" s="51"/>
      <c r="M2" s="51"/>
      <c r="N2" s="51"/>
      <c r="O2" s="51"/>
      <c r="P2" s="132"/>
      <c r="Q2" s="133"/>
    </row>
    <row r="3" spans="2:17" ht="27.75" customHeight="1" x14ac:dyDescent="0.25">
      <c r="B3" s="516" t="s">
        <v>378</v>
      </c>
      <c r="F3" s="51"/>
      <c r="G3" s="51"/>
      <c r="H3" s="51"/>
      <c r="I3" s="51"/>
      <c r="J3" s="51"/>
      <c r="K3" s="51"/>
      <c r="L3" s="51"/>
      <c r="M3" s="51"/>
      <c r="N3" s="51"/>
      <c r="O3" s="51"/>
      <c r="P3" s="51"/>
      <c r="Q3" s="134"/>
    </row>
    <row r="4" spans="2:17" s="3" customFormat="1" ht="13" x14ac:dyDescent="0.3">
      <c r="B4" s="47"/>
      <c r="C4" s="13"/>
      <c r="D4" s="58"/>
      <c r="E4" s="131"/>
      <c r="F4" s="13"/>
      <c r="G4" s="13"/>
      <c r="H4" s="13"/>
      <c r="I4" s="13"/>
      <c r="J4" s="51"/>
      <c r="K4" s="51"/>
      <c r="L4" s="51"/>
      <c r="M4" s="51"/>
      <c r="N4" s="51"/>
      <c r="O4" s="51"/>
      <c r="P4" s="51"/>
      <c r="Q4" s="134"/>
    </row>
    <row r="5" spans="2:17" ht="13" x14ac:dyDescent="0.25">
      <c r="B5" s="517" t="s">
        <v>118</v>
      </c>
      <c r="C5" s="589"/>
      <c r="D5" s="589"/>
      <c r="E5" s="589"/>
      <c r="F5" s="589"/>
      <c r="G5" s="589"/>
      <c r="H5" s="13"/>
      <c r="I5" s="13"/>
      <c r="J5" s="51"/>
      <c r="K5" s="51"/>
      <c r="L5" s="51"/>
      <c r="M5" s="51"/>
      <c r="N5" s="51"/>
      <c r="O5" s="51"/>
      <c r="P5" s="51"/>
      <c r="Q5" s="134"/>
    </row>
    <row r="6" spans="2:17" ht="13" x14ac:dyDescent="0.25">
      <c r="B6" s="518" t="s">
        <v>312</v>
      </c>
      <c r="C6" s="329" t="s">
        <v>173</v>
      </c>
      <c r="D6" s="330"/>
      <c r="E6" s="330"/>
      <c r="F6" s="330"/>
      <c r="G6" s="331"/>
      <c r="H6" s="13"/>
      <c r="I6" s="13"/>
      <c r="J6" s="51"/>
      <c r="K6" s="51"/>
      <c r="L6" s="51"/>
      <c r="M6" s="51"/>
      <c r="N6" s="51"/>
      <c r="O6" s="51"/>
      <c r="P6" s="51"/>
      <c r="Q6" s="134"/>
    </row>
    <row r="7" spans="2:17" ht="13" x14ac:dyDescent="0.25">
      <c r="B7" s="519" t="s">
        <v>119</v>
      </c>
      <c r="C7" s="598" t="s">
        <v>174</v>
      </c>
      <c r="D7" s="599"/>
      <c r="E7" s="599"/>
      <c r="F7" s="599"/>
      <c r="G7" s="599"/>
      <c r="H7" s="13"/>
      <c r="I7" s="13"/>
      <c r="J7" s="51"/>
      <c r="K7" s="51"/>
      <c r="L7" s="51"/>
      <c r="M7" s="51"/>
      <c r="N7" s="51"/>
      <c r="O7" s="51"/>
      <c r="P7" s="51"/>
      <c r="Q7" s="134"/>
    </row>
    <row r="8" spans="2:17" ht="13" x14ac:dyDescent="0.25">
      <c r="B8" s="520" t="s">
        <v>121</v>
      </c>
      <c r="C8" s="600" t="s">
        <v>122</v>
      </c>
      <c r="D8" s="595"/>
      <c r="E8" s="595"/>
      <c r="F8" s="595"/>
      <c r="G8" s="595"/>
      <c r="H8" s="13"/>
      <c r="I8" s="13"/>
      <c r="J8" s="51"/>
      <c r="K8" s="51"/>
      <c r="L8" s="51"/>
      <c r="M8" s="51"/>
      <c r="N8" s="51"/>
      <c r="O8" s="51"/>
      <c r="P8" s="51"/>
      <c r="Q8" s="134"/>
    </row>
    <row r="9" spans="2:17" ht="13" x14ac:dyDescent="0.25">
      <c r="B9" s="521" t="s">
        <v>379</v>
      </c>
      <c r="C9" s="593" t="s">
        <v>380</v>
      </c>
      <c r="D9" s="594"/>
      <c r="E9" s="594"/>
      <c r="F9" s="595"/>
      <c r="G9" s="595"/>
      <c r="H9" s="13"/>
      <c r="I9" s="13"/>
      <c r="J9" s="51"/>
      <c r="K9" s="51"/>
      <c r="L9" s="51"/>
      <c r="M9" s="51"/>
      <c r="N9" s="51"/>
      <c r="O9" s="51"/>
      <c r="P9" s="51"/>
      <c r="Q9" s="134"/>
    </row>
    <row r="10" spans="2:17" ht="13" x14ac:dyDescent="0.25">
      <c r="B10" s="522" t="s">
        <v>177</v>
      </c>
      <c r="C10" s="596" t="s">
        <v>178</v>
      </c>
      <c r="D10" s="597"/>
      <c r="E10" s="597"/>
      <c r="F10" s="597"/>
      <c r="G10" s="597"/>
      <c r="H10" s="13"/>
      <c r="I10" s="13"/>
      <c r="J10" s="51"/>
      <c r="K10" s="51"/>
      <c r="L10" s="51"/>
      <c r="M10" s="51"/>
      <c r="N10" s="51"/>
      <c r="O10" s="51"/>
      <c r="P10" s="51"/>
      <c r="Q10" s="134"/>
    </row>
    <row r="11" spans="2:17" ht="13" x14ac:dyDescent="0.25">
      <c r="B11" s="523" t="s">
        <v>179</v>
      </c>
      <c r="C11" s="601" t="s">
        <v>180</v>
      </c>
      <c r="D11" s="601"/>
      <c r="E11" s="601"/>
      <c r="F11" s="601"/>
      <c r="G11" s="601"/>
      <c r="H11" s="46"/>
      <c r="I11" s="46"/>
      <c r="J11" s="46"/>
      <c r="K11" s="46"/>
      <c r="L11" s="46"/>
      <c r="M11" s="46"/>
    </row>
    <row r="12" spans="2:17" ht="13" x14ac:dyDescent="0.3">
      <c r="B12" s="246"/>
      <c r="C12" s="26"/>
      <c r="E12" s="57"/>
      <c r="F12" s="51"/>
      <c r="G12" s="51"/>
      <c r="H12" s="51"/>
      <c r="I12" s="51"/>
      <c r="J12" s="51"/>
      <c r="K12" s="51"/>
      <c r="L12" s="51"/>
      <c r="M12" s="51"/>
      <c r="N12" s="51"/>
      <c r="O12" s="51"/>
      <c r="P12" s="51"/>
      <c r="Q12" s="134"/>
    </row>
    <row r="13" spans="2:17" ht="13" x14ac:dyDescent="0.3">
      <c r="B13" s="250" t="s">
        <v>282</v>
      </c>
      <c r="E13" s="58"/>
      <c r="F13" s="51"/>
      <c r="G13" s="51"/>
      <c r="H13" s="51"/>
      <c r="I13" s="51"/>
      <c r="J13" s="51"/>
      <c r="K13" s="51"/>
      <c r="L13" s="51"/>
      <c r="M13" s="51"/>
      <c r="N13" s="51"/>
      <c r="O13" s="51"/>
      <c r="P13" s="51"/>
      <c r="Q13" s="134"/>
    </row>
    <row r="14" spans="2:17" ht="13" thickBot="1" x14ac:dyDescent="0.3">
      <c r="B14" s="246"/>
      <c r="C14" s="26"/>
      <c r="E14" s="126"/>
      <c r="F14" s="51"/>
      <c r="G14" s="51"/>
      <c r="H14" s="51"/>
      <c r="I14" s="51"/>
      <c r="J14" s="51"/>
      <c r="K14" s="51"/>
      <c r="L14" s="51"/>
      <c r="M14" s="51"/>
      <c r="N14" s="51"/>
      <c r="O14" s="51"/>
      <c r="P14" s="135"/>
      <c r="Q14" s="136"/>
    </row>
    <row r="15" spans="2:17" ht="18" thickBot="1" x14ac:dyDescent="0.35">
      <c r="B15" s="240" t="s">
        <v>381</v>
      </c>
      <c r="C15" s="3"/>
      <c r="O15" s="27"/>
    </row>
    <row r="16" spans="2:17" ht="79.5" customHeight="1" thickBot="1" x14ac:dyDescent="0.3">
      <c r="B16" s="590" t="s">
        <v>382</v>
      </c>
      <c r="C16" s="591"/>
      <c r="D16" s="591"/>
      <c r="E16" s="591"/>
      <c r="F16" s="591"/>
      <c r="G16" s="591"/>
      <c r="H16" s="591"/>
      <c r="I16" s="591"/>
      <c r="J16" s="592"/>
      <c r="O16" s="27"/>
    </row>
    <row r="17" spans="2:18" ht="13" x14ac:dyDescent="0.25">
      <c r="B17" s="38"/>
      <c r="C17" s="36"/>
      <c r="D17" s="137"/>
      <c r="E17" s="137"/>
      <c r="F17" s="137"/>
      <c r="G17" s="137"/>
      <c r="H17" s="137"/>
      <c r="I17" s="137"/>
      <c r="J17" s="137"/>
      <c r="O17" s="27"/>
    </row>
    <row r="18" spans="2:18" s="4" customFormat="1" ht="39" x14ac:dyDescent="0.3">
      <c r="B18" s="395" t="str">
        <f>'III. Data Inputs-BE'!B51</f>
        <v>Population 1</v>
      </c>
      <c r="C18" s="453" t="str">
        <f>'III. Data Inputs-BE'!B121</f>
        <v>Liquid/Slurry w/natural crust cover</v>
      </c>
      <c r="D18" s="138"/>
      <c r="E18" s="57"/>
      <c r="F18" s="57"/>
      <c r="G18" s="57"/>
      <c r="H18" s="57"/>
      <c r="I18" s="57"/>
      <c r="J18" s="57"/>
      <c r="P18" s="139"/>
      <c r="Q18" s="139"/>
      <c r="R18" s="139"/>
    </row>
    <row r="19" spans="2:18" ht="15" x14ac:dyDescent="0.3">
      <c r="B19" s="524" t="s">
        <v>383</v>
      </c>
      <c r="C19" s="454">
        <f>'III. Data Inputs-BE'!D93</f>
        <v>0</v>
      </c>
      <c r="E19" s="58"/>
      <c r="F19" s="57"/>
      <c r="G19" s="57"/>
      <c r="H19" s="57"/>
      <c r="I19" s="57"/>
      <c r="J19" s="57"/>
      <c r="K19" s="4"/>
      <c r="L19" s="4"/>
      <c r="M19" s="4"/>
      <c r="O19" s="4"/>
      <c r="P19" s="36"/>
      <c r="Q19" s="36"/>
      <c r="R19" s="36"/>
    </row>
    <row r="20" spans="2:18" ht="13" x14ac:dyDescent="0.3">
      <c r="B20" s="524"/>
      <c r="C20" s="128"/>
      <c r="E20" s="58"/>
      <c r="F20" s="57"/>
      <c r="G20" s="57"/>
      <c r="H20" s="57"/>
      <c r="I20" s="57"/>
      <c r="J20" s="57"/>
      <c r="K20" s="4"/>
      <c r="L20" s="4"/>
      <c r="M20" s="4"/>
      <c r="O20" s="4"/>
      <c r="P20" s="36"/>
      <c r="Q20" s="36"/>
      <c r="R20" s="36"/>
    </row>
    <row r="21" spans="2:18" ht="29" x14ac:dyDescent="0.4">
      <c r="B21" s="369" t="s">
        <v>195</v>
      </c>
      <c r="C21" s="128" t="s">
        <v>384</v>
      </c>
      <c r="D21" s="451" t="s">
        <v>385</v>
      </c>
      <c r="E21" s="448" t="s">
        <v>386</v>
      </c>
      <c r="F21" s="435" t="s">
        <v>387</v>
      </c>
      <c r="G21" s="448" t="s">
        <v>388</v>
      </c>
      <c r="H21" s="435" t="s">
        <v>389</v>
      </c>
      <c r="I21" s="435" t="s">
        <v>390</v>
      </c>
      <c r="J21" s="435" t="s">
        <v>391</v>
      </c>
    </row>
    <row r="22" spans="2:18" x14ac:dyDescent="0.25">
      <c r="B22" s="292" t="str">
        <f>'III. Data Inputs-BE'!$B$33</f>
        <v>January</v>
      </c>
      <c r="C22" s="140">
        <f>'III. Data Inputs-BE'!$E$33</f>
        <v>31</v>
      </c>
      <c r="D22" s="452">
        <f>MIN(0.95, MAX(0.104,EXP(15175*(('III. Data Inputs-BE'!$C$33+273)-303.16)/(1.987*('III. Data Inputs-BE'!$C$33+273)*303.16))))</f>
        <v>0.104</v>
      </c>
      <c r="E22" s="311">
        <f t="shared" ref="E22:E33" si="0">$C$19</f>
        <v>0</v>
      </c>
      <c r="F22" s="141">
        <f>(E22*'III. Data Inputs-BE'!C70*'III. Data Inputs-BE'!$C$175*C22*0.8)+G22</f>
        <v>0</v>
      </c>
      <c r="G22" s="449">
        <v>0</v>
      </c>
      <c r="H22" s="141">
        <f>F22*D22</f>
        <v>0</v>
      </c>
      <c r="I22" s="141">
        <f>IF('III. Data Inputs-BE'!D33=0,0,H22*'III. Data Inputs-BE'!$C$107*0.68*0.001)*('III. Data Inputs-BE'!$G$33/'III. Data Inputs-BE'!$E$33)</f>
        <v>0</v>
      </c>
      <c r="J22" s="141">
        <f t="shared" ref="J22:J33" si="1">I22*gwp_ch4</f>
        <v>0</v>
      </c>
    </row>
    <row r="23" spans="2:18" x14ac:dyDescent="0.25">
      <c r="B23" s="292" t="str">
        <f>'III. Data Inputs-BE'!$B$34</f>
        <v>February</v>
      </c>
      <c r="C23" s="140">
        <f>'III. Data Inputs-BE'!$E$34</f>
        <v>28</v>
      </c>
      <c r="D23" s="452">
        <f>MIN(0.95, MAX(0.104,EXP(15175*(('III. Data Inputs-BE'!$C$34+273)-303.16)/(1.987*('III. Data Inputs-BE'!$C$34+273)*303.16))))</f>
        <v>0.104</v>
      </c>
      <c r="E23" s="311">
        <f t="shared" si="0"/>
        <v>0</v>
      </c>
      <c r="F23" s="141">
        <f>(E23*'III. Data Inputs-BE'!C71*'III. Data Inputs-BE'!$C$175*C23*0.8)+G23</f>
        <v>0</v>
      </c>
      <c r="G23" s="450">
        <f>IF('III. Data Inputs-BE'!$H$34=TRUE,0,IF('III. Data Inputs-BE'!$C$138="Yes",0,(F22-H22)*(1-INDEX('III. Data Inputs-BE'!$B$141:$D$154, MATCH('V. BE CH4,AS'!B22, 'III. Data Inputs-BE'!$B$141:$B$154,0), MATCH('V. BE CH4,AS'!$C$18,'III. Data Inputs-BE'!$B$141:$D$141,0)))))</f>
        <v>0</v>
      </c>
      <c r="H23" s="141">
        <f t="shared" ref="H23:H33" si="2">F23*D23</f>
        <v>0</v>
      </c>
      <c r="I23" s="141">
        <f>IF('III. Data Inputs-BE'!D34=0,0,H23*'III. Data Inputs-BE'!$C$107*0.68*0.001)*('III. Data Inputs-BE'!$G$34/'III. Data Inputs-BE'!$E$34)</f>
        <v>0</v>
      </c>
      <c r="J23" s="141">
        <f t="shared" si="1"/>
        <v>0</v>
      </c>
    </row>
    <row r="24" spans="2:18" x14ac:dyDescent="0.25">
      <c r="B24" s="292" t="str">
        <f>'III. Data Inputs-BE'!$B$35</f>
        <v>March</v>
      </c>
      <c r="C24" s="140">
        <f>'III. Data Inputs-BE'!$E$35</f>
        <v>31</v>
      </c>
      <c r="D24" s="452">
        <f>MIN(0.95, MAX(0.104,EXP(15175*(('III. Data Inputs-BE'!$C$35+273)-303.16)/(1.987*('III. Data Inputs-BE'!$C$35+273)*303.16))))</f>
        <v>0.104</v>
      </c>
      <c r="E24" s="311">
        <f t="shared" si="0"/>
        <v>0</v>
      </c>
      <c r="F24" s="141">
        <f>(E24*'III. Data Inputs-BE'!C72*'III. Data Inputs-BE'!$C$175*C24*0.8)+G24</f>
        <v>0</v>
      </c>
      <c r="G24" s="450">
        <f>IF('III. Data Inputs-BE'!$H$34=TRUE,0,IF('III. Data Inputs-BE'!$C$138="Yes",0,(F23-H23)*(1-INDEX('III. Data Inputs-BE'!$B$141:$D$154, MATCH('V. BE CH4,AS'!B23, 'III. Data Inputs-BE'!$B$141:$B$154,0), MATCH('V. BE CH4,AS'!$C$18,'III. Data Inputs-BE'!$B$141:$D$141,0)))))</f>
        <v>0</v>
      </c>
      <c r="H24" s="141">
        <f t="shared" si="2"/>
        <v>0</v>
      </c>
      <c r="I24" s="141">
        <f>IF('III. Data Inputs-BE'!D35=0,0,H24*'III. Data Inputs-BE'!$C$107*0.68*0.001)*('III. Data Inputs-BE'!$G$35/'III. Data Inputs-BE'!$E$35)</f>
        <v>0</v>
      </c>
      <c r="J24" s="141">
        <f t="shared" si="1"/>
        <v>0</v>
      </c>
    </row>
    <row r="25" spans="2:18" x14ac:dyDescent="0.25">
      <c r="B25" s="292" t="str">
        <f>'III. Data Inputs-BE'!$B$36</f>
        <v>April</v>
      </c>
      <c r="C25" s="140">
        <f>'III. Data Inputs-BE'!$E$36</f>
        <v>30</v>
      </c>
      <c r="D25" s="452">
        <f>MIN(0.95, MAX(0.104,EXP(15175*(('III. Data Inputs-BE'!$C$36+273)-303.16)/(1.987*('III. Data Inputs-BE'!$C$36+273)*303.16))))</f>
        <v>0.104</v>
      </c>
      <c r="E25" s="311">
        <f t="shared" si="0"/>
        <v>0</v>
      </c>
      <c r="F25" s="141">
        <f>(E25*'III. Data Inputs-BE'!C73*'III. Data Inputs-BE'!$C$175*C25*0.8)+G25</f>
        <v>0</v>
      </c>
      <c r="G25" s="450">
        <f>IF('III. Data Inputs-BE'!$H$34=TRUE,0,IF('III. Data Inputs-BE'!$C$138="Yes",0,(F24-H24)*(1-INDEX('III. Data Inputs-BE'!$B$141:$D$154, MATCH('V. BE CH4,AS'!B24, 'III. Data Inputs-BE'!$B$141:$B$154,0), MATCH('V. BE CH4,AS'!$C$18,'III. Data Inputs-BE'!$B$141:$D$141,0)))))</f>
        <v>0</v>
      </c>
      <c r="H25" s="141">
        <f t="shared" si="2"/>
        <v>0</v>
      </c>
      <c r="I25" s="141">
        <f>IF('III. Data Inputs-BE'!D36=0,0,H25*'III. Data Inputs-BE'!$C$107*0.68*0.001)*('III. Data Inputs-BE'!$G$36/'III. Data Inputs-BE'!$E$36)</f>
        <v>0</v>
      </c>
      <c r="J25" s="141">
        <f t="shared" si="1"/>
        <v>0</v>
      </c>
    </row>
    <row r="26" spans="2:18" x14ac:dyDescent="0.25">
      <c r="B26" s="292" t="str">
        <f>'III. Data Inputs-BE'!$B$37</f>
        <v>May</v>
      </c>
      <c r="C26" s="140">
        <f>'III. Data Inputs-BE'!$E$37</f>
        <v>31</v>
      </c>
      <c r="D26" s="452">
        <f>MIN(0.95, MAX(0.104,EXP(15175*(('III. Data Inputs-BE'!$C$37+273)-303.16)/(1.987*('III. Data Inputs-BE'!$C$37+273)*303.16))))</f>
        <v>0.104</v>
      </c>
      <c r="E26" s="311">
        <f t="shared" si="0"/>
        <v>0</v>
      </c>
      <c r="F26" s="141">
        <f>(E26*'III. Data Inputs-BE'!C74*'III. Data Inputs-BE'!$C$175*C26*0.8)+G26</f>
        <v>0</v>
      </c>
      <c r="G26" s="450">
        <f>IF('III. Data Inputs-BE'!$H$34=TRUE,0,IF('III. Data Inputs-BE'!$C$138="Yes",0,(F25-H25)*(1-INDEX('III. Data Inputs-BE'!$B$141:$D$154, MATCH('V. BE CH4,AS'!B25, 'III. Data Inputs-BE'!$B$141:$B$154,0), MATCH('V. BE CH4,AS'!$C$18,'III. Data Inputs-BE'!$B$141:$D$141,0)))))</f>
        <v>0</v>
      </c>
      <c r="H26" s="141">
        <f t="shared" si="2"/>
        <v>0</v>
      </c>
      <c r="I26" s="141">
        <f>IF('III. Data Inputs-BE'!D37=0,0,H26*'III. Data Inputs-BE'!$C$107*0.68*0.001)*('III. Data Inputs-BE'!$G$37/'III. Data Inputs-BE'!$E$37)</f>
        <v>0</v>
      </c>
      <c r="J26" s="141">
        <f t="shared" si="1"/>
        <v>0</v>
      </c>
    </row>
    <row r="27" spans="2:18" x14ac:dyDescent="0.25">
      <c r="B27" s="292" t="str">
        <f>'III. Data Inputs-BE'!$B$38</f>
        <v>June</v>
      </c>
      <c r="C27" s="140">
        <f>'III. Data Inputs-BE'!$E$38</f>
        <v>30</v>
      </c>
      <c r="D27" s="452">
        <f>MIN(0.95, MAX(0.104,EXP(15175*(('III. Data Inputs-BE'!$C$38+273)-303.16)/(1.987*('III. Data Inputs-BE'!$C$38+273)*303.16))))</f>
        <v>0.104</v>
      </c>
      <c r="E27" s="311">
        <f t="shared" si="0"/>
        <v>0</v>
      </c>
      <c r="F27" s="141">
        <f>(E27*'III. Data Inputs-BE'!C75*'III. Data Inputs-BE'!$C$175*C27*0.8)+G27</f>
        <v>0</v>
      </c>
      <c r="G27" s="450">
        <f>IF('III. Data Inputs-BE'!$H$34=TRUE,0,IF('III. Data Inputs-BE'!$C$138="Yes",0,(F26-H26)*(1-INDEX('III. Data Inputs-BE'!$B$141:$D$154, MATCH('V. BE CH4,AS'!B26, 'III. Data Inputs-BE'!$B$141:$B$154,0), MATCH('V. BE CH4,AS'!$C$18,'III. Data Inputs-BE'!$B$141:$D$141,0)))))</f>
        <v>0</v>
      </c>
      <c r="H27" s="141">
        <f t="shared" si="2"/>
        <v>0</v>
      </c>
      <c r="I27" s="141">
        <f>IF('III. Data Inputs-BE'!D38=0,0,H27*'III. Data Inputs-BE'!$C$107*0.68*0.001)*('III. Data Inputs-BE'!$G$38/'III. Data Inputs-BE'!$E$38)</f>
        <v>0</v>
      </c>
      <c r="J27" s="141">
        <f t="shared" si="1"/>
        <v>0</v>
      </c>
    </row>
    <row r="28" spans="2:18" x14ac:dyDescent="0.25">
      <c r="B28" s="292" t="str">
        <f>'III. Data Inputs-BE'!$B$39</f>
        <v>July</v>
      </c>
      <c r="C28" s="140">
        <f>'III. Data Inputs-BE'!$E$39</f>
        <v>31</v>
      </c>
      <c r="D28" s="452">
        <f>MIN(0.95, MAX(0.104,EXP(15175*(('III. Data Inputs-BE'!$C$39+273)-303.16)/(1.987*('III. Data Inputs-BE'!$C$39+273)*303.16))))</f>
        <v>0.104</v>
      </c>
      <c r="E28" s="311">
        <f t="shared" si="0"/>
        <v>0</v>
      </c>
      <c r="F28" s="141">
        <f>(E28*'III. Data Inputs-BE'!C76*'III. Data Inputs-BE'!$C$175*C28*0.8)+G28</f>
        <v>0</v>
      </c>
      <c r="G28" s="450">
        <f>IF('III. Data Inputs-BE'!$H$34=TRUE,0,IF('III. Data Inputs-BE'!$C$138="Yes",0,(F27-H27)*(1-INDEX('III. Data Inputs-BE'!$B$141:$D$154, MATCH('V. BE CH4,AS'!B27, 'III. Data Inputs-BE'!$B$141:$B$154,0), MATCH('V. BE CH4,AS'!$C$18,'III. Data Inputs-BE'!$B$141:$D$141,0)))))</f>
        <v>0</v>
      </c>
      <c r="H28" s="141">
        <f t="shared" si="2"/>
        <v>0</v>
      </c>
      <c r="I28" s="141">
        <f>IF('III. Data Inputs-BE'!D39=0,0,H28*'III. Data Inputs-BE'!$C$107*0.68*0.001)*('III. Data Inputs-BE'!$G$39/'III. Data Inputs-BE'!$E$39)</f>
        <v>0</v>
      </c>
      <c r="J28" s="141">
        <f t="shared" si="1"/>
        <v>0</v>
      </c>
    </row>
    <row r="29" spans="2:18" x14ac:dyDescent="0.25">
      <c r="B29" s="292" t="str">
        <f>'III. Data Inputs-BE'!$B$40</f>
        <v>August</v>
      </c>
      <c r="C29" s="140">
        <f>'III. Data Inputs-BE'!$E$40</f>
        <v>31</v>
      </c>
      <c r="D29" s="452">
        <f>MIN(0.95, MAX(0.104,EXP(15175*(('III. Data Inputs-BE'!$C$40+273)-303.16)/(1.987*('III. Data Inputs-BE'!$C$40+273)*303.16))))</f>
        <v>0.104</v>
      </c>
      <c r="E29" s="311">
        <f t="shared" si="0"/>
        <v>0</v>
      </c>
      <c r="F29" s="141">
        <f>(E29*'III. Data Inputs-BE'!C77*'III. Data Inputs-BE'!$C$175*C29*0.8)+G29</f>
        <v>0</v>
      </c>
      <c r="G29" s="450">
        <f>IF('III. Data Inputs-BE'!$H$34=TRUE,0,IF('III. Data Inputs-BE'!$C$138="Yes",0,(F28-H28)*(1-INDEX('III. Data Inputs-BE'!$B$141:$D$154, MATCH('V. BE CH4,AS'!B28, 'III. Data Inputs-BE'!$B$141:$B$154,0), MATCH('V. BE CH4,AS'!$C$18,'III. Data Inputs-BE'!$B$141:$D$141,0)))))</f>
        <v>0</v>
      </c>
      <c r="H29" s="141">
        <f t="shared" si="2"/>
        <v>0</v>
      </c>
      <c r="I29" s="141">
        <f>IF('III. Data Inputs-BE'!D40=0,0,H29*'III. Data Inputs-BE'!$C$107*0.68*0.001)*('III. Data Inputs-BE'!$G$40/'III. Data Inputs-BE'!$E$40)</f>
        <v>0</v>
      </c>
      <c r="J29" s="141">
        <f t="shared" si="1"/>
        <v>0</v>
      </c>
    </row>
    <row r="30" spans="2:18" x14ac:dyDescent="0.25">
      <c r="B30" s="292" t="str">
        <f>'III. Data Inputs-BE'!$B$41</f>
        <v>September</v>
      </c>
      <c r="C30" s="140">
        <f>'III. Data Inputs-BE'!$E$41</f>
        <v>30</v>
      </c>
      <c r="D30" s="452">
        <f>MIN(0.95, MAX(0.104,EXP(15175*(('III. Data Inputs-BE'!$C$41+273)-303.16)/(1.987*('III. Data Inputs-BE'!$C$41+273)*303.16))))</f>
        <v>0.104</v>
      </c>
      <c r="E30" s="311">
        <f t="shared" si="0"/>
        <v>0</v>
      </c>
      <c r="F30" s="141">
        <f>(E30*'III. Data Inputs-BE'!C78*'III. Data Inputs-BE'!$C$175*C30*0.8)+G30</f>
        <v>0</v>
      </c>
      <c r="G30" s="450">
        <f>IF('III. Data Inputs-BE'!$H$34=TRUE,0,IF('III. Data Inputs-BE'!$C$138="Yes",0,(F29-H29)*(1-INDEX('III. Data Inputs-BE'!$B$141:$D$154, MATCH('V. BE CH4,AS'!B29, 'III. Data Inputs-BE'!$B$141:$B$154,0), MATCH('V. BE CH4,AS'!$C$18,'III. Data Inputs-BE'!$B$141:$D$141,0)))))</f>
        <v>0</v>
      </c>
      <c r="H30" s="141">
        <f t="shared" si="2"/>
        <v>0</v>
      </c>
      <c r="I30" s="141">
        <f>IF('III. Data Inputs-BE'!D41=0,0,H30*'III. Data Inputs-BE'!$C$107*0.68*0.001)*('III. Data Inputs-BE'!$G$41/'III. Data Inputs-BE'!$E$41)</f>
        <v>0</v>
      </c>
      <c r="J30" s="141">
        <f t="shared" si="1"/>
        <v>0</v>
      </c>
    </row>
    <row r="31" spans="2:18" x14ac:dyDescent="0.25">
      <c r="B31" s="292" t="str">
        <f>'III. Data Inputs-BE'!$B$42</f>
        <v>October</v>
      </c>
      <c r="C31" s="140">
        <f>'III. Data Inputs-BE'!$E$42</f>
        <v>31</v>
      </c>
      <c r="D31" s="452">
        <f>MIN(0.95, MAX(0.104,EXP(15175*(('III. Data Inputs-BE'!$C$42+273)-303.16)/(1.987*('III. Data Inputs-BE'!$C$42+273)*303.16))))</f>
        <v>0.104</v>
      </c>
      <c r="E31" s="311">
        <f t="shared" si="0"/>
        <v>0</v>
      </c>
      <c r="F31" s="141">
        <f>(E31*'III. Data Inputs-BE'!C79*'III. Data Inputs-BE'!$C$175*C31*0.8)+G31</f>
        <v>0</v>
      </c>
      <c r="G31" s="450">
        <f>IF('III. Data Inputs-BE'!$H$34=TRUE,0,IF('III. Data Inputs-BE'!$C$138="Yes",0,(F30-H30)*(1-INDEX('III. Data Inputs-BE'!$B$141:$D$154, MATCH('V. BE CH4,AS'!B30, 'III. Data Inputs-BE'!$B$141:$B$154,0), MATCH('V. BE CH4,AS'!$C$18,'III. Data Inputs-BE'!$B$141:$D$141,0)))))</f>
        <v>0</v>
      </c>
      <c r="H31" s="141">
        <f t="shared" si="2"/>
        <v>0</v>
      </c>
      <c r="I31" s="141">
        <f>IF('III. Data Inputs-BE'!D42=0,0,H31*'III. Data Inputs-BE'!$C$107*0.68*0.001)*('III. Data Inputs-BE'!$G$42/'III. Data Inputs-BE'!$E$42)</f>
        <v>0</v>
      </c>
      <c r="J31" s="141">
        <f t="shared" si="1"/>
        <v>0</v>
      </c>
    </row>
    <row r="32" spans="2:18" x14ac:dyDescent="0.25">
      <c r="B32" s="292" t="str">
        <f>'III. Data Inputs-BE'!$B$43</f>
        <v>November</v>
      </c>
      <c r="C32" s="140">
        <f>'III. Data Inputs-BE'!$E$43</f>
        <v>30</v>
      </c>
      <c r="D32" s="452">
        <f>MIN(0.95, MAX(0.104,EXP(15175*(('III. Data Inputs-BE'!$C$43+273)-303.16)/(1.987*('III. Data Inputs-BE'!$C$43+273)*303.16))))</f>
        <v>0.104</v>
      </c>
      <c r="E32" s="311">
        <f t="shared" si="0"/>
        <v>0</v>
      </c>
      <c r="F32" s="141">
        <f>(E32*'III. Data Inputs-BE'!C80*'III. Data Inputs-BE'!$C$175*C32*0.8)+G32</f>
        <v>0</v>
      </c>
      <c r="G32" s="450">
        <f>IF('III. Data Inputs-BE'!$H$34=TRUE,0,IF('III. Data Inputs-BE'!$C$138="Yes",0,(F31-H31)*(1-INDEX('III. Data Inputs-BE'!$B$141:$D$154, MATCH('V. BE CH4,AS'!B31, 'III. Data Inputs-BE'!$B$141:$B$154,0), MATCH('V. BE CH4,AS'!$C$18,'III. Data Inputs-BE'!$B$141:$D$141,0)))))</f>
        <v>0</v>
      </c>
      <c r="H32" s="141">
        <f t="shared" si="2"/>
        <v>0</v>
      </c>
      <c r="I32" s="141">
        <f>IF('III. Data Inputs-BE'!D43=0,0,H32*'III. Data Inputs-BE'!$C$107*0.68*0.001)*('III. Data Inputs-BE'!$G$43/'III. Data Inputs-BE'!$E$43)</f>
        <v>0</v>
      </c>
      <c r="J32" s="141">
        <f t="shared" si="1"/>
        <v>0</v>
      </c>
    </row>
    <row r="33" spans="1:94" x14ac:dyDescent="0.25">
      <c r="B33" s="292" t="str">
        <f>'III. Data Inputs-BE'!$B$44</f>
        <v>December</v>
      </c>
      <c r="C33" s="140">
        <f>'III. Data Inputs-BE'!$E$44</f>
        <v>31</v>
      </c>
      <c r="D33" s="452">
        <f>MIN(0.95, MAX(0.104,EXP(15175*(('III. Data Inputs-BE'!$C$44+273)-303.16)/(1.987*('III. Data Inputs-BE'!$C$44+273)*303.16))))</f>
        <v>0.104</v>
      </c>
      <c r="E33" s="311">
        <f t="shared" si="0"/>
        <v>0</v>
      </c>
      <c r="F33" s="141">
        <f>(E33*'III. Data Inputs-BE'!C81*'III. Data Inputs-BE'!$C$175*C33*0.8)+G33</f>
        <v>0</v>
      </c>
      <c r="G33" s="450">
        <f>IF('III. Data Inputs-BE'!$H$34=TRUE,0,IF('III. Data Inputs-BE'!$C$138="Yes",0,(F32-H32)*(1-INDEX('III. Data Inputs-BE'!$B$141:$D$154, MATCH('V. BE CH4,AS'!B32, 'III. Data Inputs-BE'!$B$141:$B$154,0), MATCH('V. BE CH4,AS'!$C$18,'III. Data Inputs-BE'!$B$141:$D$141,0)))))</f>
        <v>0</v>
      </c>
      <c r="H33" s="141">
        <f t="shared" si="2"/>
        <v>0</v>
      </c>
      <c r="I33" s="141">
        <f>IF('III. Data Inputs-BE'!D44=0,0,H33*'III. Data Inputs-BE'!$C$107*0.68*0.001)*('III. Data Inputs-BE'!$G$44/'III. Data Inputs-BE'!$E$44)</f>
        <v>0</v>
      </c>
      <c r="J33" s="141">
        <f t="shared" si="1"/>
        <v>0</v>
      </c>
    </row>
    <row r="34" spans="1:94" s="3" customFormat="1" ht="13" x14ac:dyDescent="0.3">
      <c r="B34" s="525" t="s">
        <v>392</v>
      </c>
      <c r="C34" s="416"/>
      <c r="D34" s="456"/>
      <c r="E34" s="456"/>
      <c r="F34" s="456"/>
      <c r="G34" s="457"/>
      <c r="H34" s="455">
        <f>SUM(H22:H33)</f>
        <v>0</v>
      </c>
      <c r="I34" s="455">
        <f>SUM(I22:I33)</f>
        <v>0</v>
      </c>
      <c r="J34" s="455">
        <f>SUM(J22:J33)</f>
        <v>0</v>
      </c>
      <c r="K34" s="142"/>
      <c r="L34" s="142"/>
      <c r="M34" s="143"/>
      <c r="N34" s="143"/>
      <c r="O34" s="4"/>
      <c r="Q34" s="142"/>
    </row>
    <row r="35" spans="1:94" s="3" customFormat="1" ht="13" x14ac:dyDescent="0.3">
      <c r="B35" s="517"/>
      <c r="D35" s="57"/>
      <c r="E35" s="57"/>
      <c r="F35" s="58"/>
      <c r="G35" s="58"/>
      <c r="H35" s="58"/>
      <c r="I35" s="58"/>
      <c r="J35" s="58"/>
      <c r="K35" s="142"/>
      <c r="L35" s="142"/>
      <c r="M35" s="143"/>
      <c r="N35" s="143"/>
      <c r="O35" s="4"/>
      <c r="Q35" s="142"/>
    </row>
    <row r="36" spans="1:94" x14ac:dyDescent="0.25">
      <c r="B36" s="526" t="s">
        <v>393</v>
      </c>
      <c r="C36" s="428"/>
      <c r="D36" s="460"/>
      <c r="E36" s="460"/>
      <c r="F36" s="461"/>
      <c r="G36" s="458">
        <f>F33-H33</f>
        <v>0</v>
      </c>
      <c r="K36" s="144"/>
      <c r="L36" s="144"/>
      <c r="M36" s="144"/>
      <c r="N36" s="144"/>
      <c r="O36" s="96"/>
      <c r="P36" s="144"/>
      <c r="Q36" s="144"/>
    </row>
    <row r="37" spans="1:94" ht="62.5" x14ac:dyDescent="0.25">
      <c r="G37" s="459" t="s">
        <v>394</v>
      </c>
      <c r="K37" s="144"/>
      <c r="L37" s="144"/>
      <c r="M37" s="144"/>
      <c r="N37" s="144"/>
      <c r="O37" s="96"/>
      <c r="P37" s="144"/>
      <c r="Q37" s="144"/>
    </row>
    <row r="38" spans="1:94" x14ac:dyDescent="0.25">
      <c r="G38" s="145"/>
      <c r="K38" s="144"/>
      <c r="L38" s="144"/>
      <c r="M38" s="144"/>
      <c r="N38" s="144"/>
      <c r="O38" s="96"/>
      <c r="P38" s="144"/>
      <c r="Q38" s="144"/>
    </row>
    <row r="39" spans="1:94" s="146" customFormat="1" ht="13" x14ac:dyDescent="0.3">
      <c r="A39" s="46"/>
      <c r="B39" s="39"/>
      <c r="C39" s="4"/>
      <c r="D39" s="126"/>
      <c r="E39" s="549" t="s">
        <v>395</v>
      </c>
      <c r="F39" s="554"/>
      <c r="G39" s="554"/>
      <c r="H39" s="554"/>
      <c r="I39" s="554"/>
      <c r="J39" s="554"/>
      <c r="K39" s="4"/>
      <c r="L39" s="4"/>
      <c r="M39" s="4"/>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6"/>
      <c r="BB39" s="46"/>
      <c r="BC39" s="46"/>
      <c r="BD39" s="46"/>
      <c r="BE39" s="46"/>
      <c r="BF39" s="46"/>
      <c r="BG39" s="46"/>
      <c r="BH39" s="46"/>
      <c r="BI39" s="46"/>
      <c r="BJ39" s="46"/>
      <c r="BK39" s="46"/>
      <c r="BL39" s="46"/>
      <c r="BM39" s="46"/>
      <c r="BN39" s="46"/>
      <c r="BO39" s="46"/>
      <c r="BP39" s="46"/>
      <c r="BQ39" s="46"/>
      <c r="BR39" s="46"/>
      <c r="BS39" s="46"/>
      <c r="BT39" s="46"/>
      <c r="BU39" s="46"/>
      <c r="BV39" s="46"/>
      <c r="BW39" s="46"/>
      <c r="BX39" s="46"/>
      <c r="BY39" s="46"/>
      <c r="BZ39" s="46"/>
      <c r="CA39" s="46"/>
      <c r="CB39" s="46"/>
      <c r="CC39" s="46"/>
      <c r="CD39" s="46"/>
      <c r="CE39" s="46"/>
      <c r="CF39" s="46"/>
      <c r="CG39" s="46"/>
      <c r="CH39" s="46"/>
      <c r="CI39" s="46"/>
      <c r="CJ39" s="46"/>
      <c r="CK39" s="46"/>
      <c r="CL39" s="46"/>
      <c r="CM39" s="46"/>
      <c r="CN39" s="46"/>
      <c r="CO39" s="46"/>
      <c r="CP39" s="46"/>
    </row>
    <row r="40" spans="1:94" s="60" customFormat="1" ht="13" x14ac:dyDescent="0.3">
      <c r="A40" s="13"/>
      <c r="B40" s="517"/>
      <c r="C40" s="4"/>
      <c r="D40" s="41"/>
      <c r="E40" s="554"/>
      <c r="F40" s="554"/>
      <c r="G40" s="554"/>
      <c r="H40" s="554"/>
      <c r="I40" s="554"/>
      <c r="J40" s="554"/>
      <c r="K40" s="4"/>
      <c r="L40" s="4"/>
      <c r="M40" s="4"/>
      <c r="N40" s="13"/>
      <c r="O40" s="46"/>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c r="BU40" s="13"/>
      <c r="BV40" s="13"/>
      <c r="BW40" s="13"/>
      <c r="BX40" s="13"/>
      <c r="BY40" s="13"/>
      <c r="BZ40" s="13"/>
      <c r="CA40" s="13"/>
      <c r="CB40" s="13"/>
      <c r="CC40" s="13"/>
      <c r="CD40" s="13"/>
      <c r="CE40" s="13"/>
      <c r="CF40" s="13"/>
      <c r="CG40" s="13"/>
      <c r="CH40" s="13"/>
      <c r="CI40" s="13"/>
      <c r="CJ40" s="13"/>
      <c r="CK40" s="13"/>
      <c r="CL40" s="13"/>
      <c r="CM40" s="13"/>
      <c r="CN40" s="13"/>
      <c r="CO40" s="13"/>
      <c r="CP40" s="13"/>
    </row>
    <row r="41" spans="1:94" s="60" customFormat="1" ht="13" x14ac:dyDescent="0.3">
      <c r="A41" s="13"/>
      <c r="B41" s="517"/>
      <c r="C41" s="4"/>
      <c r="D41" s="41"/>
      <c r="E41" s="554"/>
      <c r="F41" s="554"/>
      <c r="G41" s="554"/>
      <c r="H41" s="554"/>
      <c r="I41" s="554"/>
      <c r="J41" s="554"/>
      <c r="K41" s="4"/>
      <c r="L41" s="4"/>
      <c r="M41" s="4"/>
      <c r="N41" s="13"/>
      <c r="O41" s="46"/>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3"/>
      <c r="BT41" s="13"/>
      <c r="BU41" s="13"/>
      <c r="BV41" s="13"/>
      <c r="BW41" s="13"/>
      <c r="BX41" s="13"/>
      <c r="BY41" s="13"/>
      <c r="BZ41" s="13"/>
      <c r="CA41" s="13"/>
      <c r="CB41" s="13"/>
      <c r="CC41" s="13"/>
      <c r="CD41" s="13"/>
      <c r="CE41" s="13"/>
      <c r="CF41" s="13"/>
      <c r="CG41" s="13"/>
      <c r="CH41" s="13"/>
      <c r="CI41" s="13"/>
      <c r="CJ41" s="13"/>
      <c r="CK41" s="13"/>
      <c r="CL41" s="13"/>
      <c r="CM41" s="13"/>
      <c r="CN41" s="13"/>
      <c r="CO41" s="13"/>
      <c r="CP41" s="13"/>
    </row>
    <row r="42" spans="1:94" ht="13" x14ac:dyDescent="0.3">
      <c r="B42" s="395" t="str">
        <f>B18</f>
        <v>Population 1</v>
      </c>
      <c r="C42" s="453">
        <f>'III. Data Inputs-BE'!B122</f>
        <v>0</v>
      </c>
      <c r="D42" s="138"/>
      <c r="E42" s="57"/>
      <c r="F42" s="57"/>
      <c r="G42" s="57"/>
      <c r="H42" s="57"/>
      <c r="I42" s="57"/>
      <c r="J42" s="57"/>
      <c r="K42" s="36"/>
      <c r="L42" s="36"/>
      <c r="M42" s="36"/>
    </row>
    <row r="43" spans="1:94" ht="15" x14ac:dyDescent="0.3">
      <c r="B43" s="524" t="s">
        <v>383</v>
      </c>
      <c r="C43" s="454">
        <f>C19</f>
        <v>0</v>
      </c>
      <c r="E43" s="58"/>
      <c r="F43" s="57"/>
      <c r="G43" s="57"/>
      <c r="H43" s="57"/>
      <c r="I43" s="57"/>
      <c r="J43" s="57"/>
      <c r="K43" s="96"/>
      <c r="L43" s="96"/>
      <c r="O43" s="46"/>
      <c r="P43" s="27"/>
    </row>
    <row r="44" spans="1:94" ht="13" x14ac:dyDescent="0.3">
      <c r="B44" s="527"/>
      <c r="C44" s="267"/>
      <c r="E44" s="58"/>
      <c r="F44" s="57"/>
      <c r="G44" s="57"/>
      <c r="H44" s="57"/>
      <c r="I44" s="57"/>
      <c r="J44" s="57"/>
      <c r="N44" s="3"/>
      <c r="O44" s="46"/>
    </row>
    <row r="45" spans="1:94" ht="29" x14ac:dyDescent="0.4">
      <c r="B45" s="369" t="s">
        <v>195</v>
      </c>
      <c r="C45" s="128" t="s">
        <v>384</v>
      </c>
      <c r="D45" s="447" t="s">
        <v>385</v>
      </c>
      <c r="E45" s="448" t="s">
        <v>386</v>
      </c>
      <c r="F45" s="435" t="s">
        <v>387</v>
      </c>
      <c r="G45" s="448" t="s">
        <v>388</v>
      </c>
      <c r="H45" s="435" t="s">
        <v>389</v>
      </c>
      <c r="I45" s="435" t="s">
        <v>390</v>
      </c>
      <c r="J45" s="435" t="s">
        <v>391</v>
      </c>
    </row>
    <row r="46" spans="1:94" x14ac:dyDescent="0.25">
      <c r="B46" s="292" t="str">
        <f>'III. Data Inputs-BE'!$B$33</f>
        <v>January</v>
      </c>
      <c r="C46" s="140">
        <f>'III. Data Inputs-BE'!$E$33</f>
        <v>31</v>
      </c>
      <c r="D46" s="452">
        <f>MIN(0.95, MAX(0.104,EXP(15175*(('III. Data Inputs-BE'!$C$33+273)-303.16)/(1.987*('III. Data Inputs-BE'!$C$33+273)*303.16))))</f>
        <v>0.104</v>
      </c>
      <c r="E46" s="300">
        <f t="shared" ref="E46:E57" si="3">$C$43</f>
        <v>0</v>
      </c>
      <c r="F46" s="148">
        <f>(E46*'III. Data Inputs-BE'!C70*'III. Data Inputs-BE'!$C$176*C46*0.8)+G46</f>
        <v>0</v>
      </c>
      <c r="G46" s="449">
        <v>0</v>
      </c>
      <c r="H46" s="148">
        <f>F46*D46</f>
        <v>0</v>
      </c>
      <c r="I46" s="148">
        <f>IF('III. Data Inputs-BE'!D33=0,0,H46*'III. Data Inputs-BE'!$C$107*0.68*0.001)*('III. Data Inputs-BE'!G33/'III. Data Inputs-BE'!E33)</f>
        <v>0</v>
      </c>
      <c r="J46" s="148">
        <f t="shared" ref="J46:J57" si="4">I46*gwp_ch4</f>
        <v>0</v>
      </c>
    </row>
    <row r="47" spans="1:94" x14ac:dyDescent="0.25">
      <c r="B47" s="292" t="str">
        <f>'III. Data Inputs-BE'!$B$34</f>
        <v>February</v>
      </c>
      <c r="C47" s="140">
        <f>'III. Data Inputs-BE'!$E$34</f>
        <v>28</v>
      </c>
      <c r="D47" s="452">
        <f>MIN(0.95, MAX(0.104,EXP(15175*(('III. Data Inputs-BE'!$C$34+273)-303.16)/(1.987*('III. Data Inputs-BE'!$C$34+273)*303.16))))</f>
        <v>0.104</v>
      </c>
      <c r="E47" s="300">
        <f t="shared" si="3"/>
        <v>0</v>
      </c>
      <c r="F47" s="148">
        <f>(E47*'III. Data Inputs-BE'!C71*'III. Data Inputs-BE'!$C$176*C47*0.8)+G47</f>
        <v>0</v>
      </c>
      <c r="G47" s="450">
        <f>IF('III. Data Inputs-BE'!$H$34=TRUE,0,IF('III. Data Inputs-BE'!$C$138="Yes",0,(F46-H46)*(1-INDEX('III. Data Inputs-BE'!$B$141:$D$154, MATCH('V. BE CH4,AS'!B46, 'III. Data Inputs-BE'!$B$141:$B$154,0), MATCH('V. BE CH4,AS'!$C$42,'III. Data Inputs-BE'!$B$141:$D$141,0)))))</f>
        <v>0</v>
      </c>
      <c r="H47" s="148">
        <f t="shared" ref="H47:H57" si="5">F47*D47</f>
        <v>0</v>
      </c>
      <c r="I47" s="148">
        <f>IF('III. Data Inputs-BE'!D34=0,0,H47*'III. Data Inputs-BE'!$C$107*0.68*0.001)*('III. Data Inputs-BE'!G34/'III. Data Inputs-BE'!E34)</f>
        <v>0</v>
      </c>
      <c r="J47" s="148">
        <f t="shared" si="4"/>
        <v>0</v>
      </c>
    </row>
    <row r="48" spans="1:94" x14ac:dyDescent="0.25">
      <c r="B48" s="292" t="str">
        <f>'III. Data Inputs-BE'!$B$35</f>
        <v>March</v>
      </c>
      <c r="C48" s="140">
        <f>'III. Data Inputs-BE'!$E$35</f>
        <v>31</v>
      </c>
      <c r="D48" s="452">
        <f>MIN(0.95, MAX(0.104,EXP(15175*(('III. Data Inputs-BE'!$C$35+273)-303.16)/(1.987*('III. Data Inputs-BE'!$C$35+273)*303.16))))</f>
        <v>0.104</v>
      </c>
      <c r="E48" s="300">
        <f t="shared" si="3"/>
        <v>0</v>
      </c>
      <c r="F48" s="148">
        <f>(E48*'III. Data Inputs-BE'!C72*'III. Data Inputs-BE'!$C$176*C48*0.8)+G48</f>
        <v>0</v>
      </c>
      <c r="G48" s="450">
        <f>IF('III. Data Inputs-BE'!$H$34=TRUE,0,IF('III. Data Inputs-BE'!$C$138="Yes",0,(F47-H47)*(1-INDEX('III. Data Inputs-BE'!$B$141:$D$154, MATCH('V. BE CH4,AS'!B47, 'III. Data Inputs-BE'!$B$141:$B$154,0), MATCH('V. BE CH4,AS'!$C$42,'III. Data Inputs-BE'!$B$141:$D$141,0)))))</f>
        <v>0</v>
      </c>
      <c r="H48" s="148">
        <f t="shared" si="5"/>
        <v>0</v>
      </c>
      <c r="I48" s="148">
        <f>IF('III. Data Inputs-BE'!D35=0,0,H48*'III. Data Inputs-BE'!$C$107*0.68*0.001)*('III. Data Inputs-BE'!G35/'III. Data Inputs-BE'!E35)</f>
        <v>0</v>
      </c>
      <c r="J48" s="148">
        <f t="shared" si="4"/>
        <v>0</v>
      </c>
    </row>
    <row r="49" spans="1:94" x14ac:dyDescent="0.25">
      <c r="B49" s="292" t="str">
        <f>'III. Data Inputs-BE'!$B$36</f>
        <v>April</v>
      </c>
      <c r="C49" s="140">
        <f>'III. Data Inputs-BE'!$E$36</f>
        <v>30</v>
      </c>
      <c r="D49" s="452">
        <f>MIN(0.95, MAX(0.104,EXP(15175*(('III. Data Inputs-BE'!$C$36+273)-303.16)/(1.987*('III. Data Inputs-BE'!$C$36+273)*303.16))))</f>
        <v>0.104</v>
      </c>
      <c r="E49" s="300">
        <f t="shared" si="3"/>
        <v>0</v>
      </c>
      <c r="F49" s="148">
        <f>(E49*'III. Data Inputs-BE'!C73*'III. Data Inputs-BE'!$C$176*C49*0.8)+G49</f>
        <v>0</v>
      </c>
      <c r="G49" s="450">
        <f>IF('III. Data Inputs-BE'!$H$34=TRUE,0,IF('III. Data Inputs-BE'!$C$138="Yes",0,(F48-H48)*(1-INDEX('III. Data Inputs-BE'!$B$141:$D$154, MATCH('V. BE CH4,AS'!B48, 'III. Data Inputs-BE'!$B$141:$B$154,0), MATCH('V. BE CH4,AS'!$C$42,'III. Data Inputs-BE'!$B$141:$D$141,0)))))</f>
        <v>0</v>
      </c>
      <c r="H49" s="148">
        <f t="shared" si="5"/>
        <v>0</v>
      </c>
      <c r="I49" s="148">
        <f>IF('III. Data Inputs-BE'!D36=0,0,H49*'III. Data Inputs-BE'!$C$107*0.68*0.001)*('III. Data Inputs-BE'!G36/'III. Data Inputs-BE'!E36)</f>
        <v>0</v>
      </c>
      <c r="J49" s="148">
        <f t="shared" si="4"/>
        <v>0</v>
      </c>
    </row>
    <row r="50" spans="1:94" x14ac:dyDescent="0.25">
      <c r="B50" s="292" t="str">
        <f>'III. Data Inputs-BE'!$B$37</f>
        <v>May</v>
      </c>
      <c r="C50" s="140">
        <f>'III. Data Inputs-BE'!$E$37</f>
        <v>31</v>
      </c>
      <c r="D50" s="452">
        <f>MIN(0.95, MAX(0.104,EXP(15175*(('III. Data Inputs-BE'!$C$37+273)-303.16)/(1.987*('III. Data Inputs-BE'!$C$37+273)*303.16))))</f>
        <v>0.104</v>
      </c>
      <c r="E50" s="300">
        <f t="shared" si="3"/>
        <v>0</v>
      </c>
      <c r="F50" s="148">
        <f>(E50*'III. Data Inputs-BE'!C74*'III. Data Inputs-BE'!$C$176*C50*0.8)+G50</f>
        <v>0</v>
      </c>
      <c r="G50" s="450">
        <f>IF('III. Data Inputs-BE'!$H$34=TRUE,0,IF('III. Data Inputs-BE'!$C$138="Yes",0,(F49-H49)*(1-INDEX('III. Data Inputs-BE'!$B$141:$D$154, MATCH('V. BE CH4,AS'!B49, 'III. Data Inputs-BE'!$B$141:$B$154,0), MATCH('V. BE CH4,AS'!$C$42,'III. Data Inputs-BE'!$B$141:$D$141,0)))))</f>
        <v>0</v>
      </c>
      <c r="H50" s="148">
        <f t="shared" si="5"/>
        <v>0</v>
      </c>
      <c r="I50" s="148">
        <f>IF('III. Data Inputs-BE'!D37=0,0,H50*'III. Data Inputs-BE'!$C$107*0.68*0.001)*('III. Data Inputs-BE'!G37/'III. Data Inputs-BE'!E37)</f>
        <v>0</v>
      </c>
      <c r="J50" s="148">
        <f t="shared" si="4"/>
        <v>0</v>
      </c>
    </row>
    <row r="51" spans="1:94" s="3" customFormat="1" ht="13" x14ac:dyDescent="0.3">
      <c r="B51" s="292" t="str">
        <f>'III. Data Inputs-BE'!$B$38</f>
        <v>June</v>
      </c>
      <c r="C51" s="140">
        <f>'III. Data Inputs-BE'!$E$38</f>
        <v>30</v>
      </c>
      <c r="D51" s="452">
        <f>MIN(0.95, MAX(0.104,EXP(15175*(('III. Data Inputs-BE'!$C$38+273)-303.16)/(1.987*('III. Data Inputs-BE'!$C$38+273)*303.16))))</f>
        <v>0.104</v>
      </c>
      <c r="E51" s="300">
        <f t="shared" si="3"/>
        <v>0</v>
      </c>
      <c r="F51" s="148">
        <f>(E51*'III. Data Inputs-BE'!C75*'III. Data Inputs-BE'!$C$176*C51*0.8)+G51</f>
        <v>0</v>
      </c>
      <c r="G51" s="450">
        <f>IF('III. Data Inputs-BE'!$H$34=TRUE,0,IF('III. Data Inputs-BE'!$C$138="Yes",0,(F50-H50)*(1-INDEX('III. Data Inputs-BE'!$B$141:$D$154, MATCH('V. BE CH4,AS'!B50, 'III. Data Inputs-BE'!$B$141:$B$154,0), MATCH('V. BE CH4,AS'!$C$42,'III. Data Inputs-BE'!$B$141:$D$141,0)))))</f>
        <v>0</v>
      </c>
      <c r="H51" s="148">
        <f t="shared" si="5"/>
        <v>0</v>
      </c>
      <c r="I51" s="148">
        <f>IF('III. Data Inputs-BE'!D38=0,0,H51*'III. Data Inputs-BE'!$C$107*0.68*0.001)*('III. Data Inputs-BE'!G38/'III. Data Inputs-BE'!E38)</f>
        <v>0</v>
      </c>
      <c r="J51" s="148">
        <f t="shared" si="4"/>
        <v>0</v>
      </c>
      <c r="K51" s="142"/>
      <c r="L51" s="142"/>
      <c r="M51" s="143"/>
    </row>
    <row r="52" spans="1:94" x14ac:dyDescent="0.25">
      <c r="B52" s="292" t="str">
        <f>'III. Data Inputs-BE'!$B$39</f>
        <v>July</v>
      </c>
      <c r="C52" s="140">
        <f>'III. Data Inputs-BE'!$E$39</f>
        <v>31</v>
      </c>
      <c r="D52" s="452">
        <f>MIN(0.95, MAX(0.104,EXP(15175*(('III. Data Inputs-BE'!$C$39+273)-303.16)/(1.987*('III. Data Inputs-BE'!$C$39+273)*303.16))))</f>
        <v>0.104</v>
      </c>
      <c r="E52" s="300">
        <f t="shared" si="3"/>
        <v>0</v>
      </c>
      <c r="F52" s="148">
        <f>(E52*'III. Data Inputs-BE'!C76*'III. Data Inputs-BE'!$C$176*C52*0.8)+G52</f>
        <v>0</v>
      </c>
      <c r="G52" s="450">
        <f>IF('III. Data Inputs-BE'!$H$34=TRUE,0,IF('III. Data Inputs-BE'!$C$138="Yes",0,(F51-H51)*(1-INDEX('III. Data Inputs-BE'!$B$141:$D$154, MATCH('V. BE CH4,AS'!B51, 'III. Data Inputs-BE'!$B$141:$B$154,0), MATCH('V. BE CH4,AS'!$C$42,'III. Data Inputs-BE'!$B$141:$D$141,0)))))</f>
        <v>0</v>
      </c>
      <c r="H52" s="148">
        <f t="shared" si="5"/>
        <v>0</v>
      </c>
      <c r="I52" s="148">
        <f>IF('III. Data Inputs-BE'!D39=0,0,H52*'III. Data Inputs-BE'!$C$107*0.68*0.001)*('III. Data Inputs-BE'!G39/'III. Data Inputs-BE'!E39)</f>
        <v>0</v>
      </c>
      <c r="J52" s="148">
        <f t="shared" si="4"/>
        <v>0</v>
      </c>
    </row>
    <row r="53" spans="1:94" s="46" customFormat="1" ht="13" x14ac:dyDescent="0.3">
      <c r="B53" s="292" t="str">
        <f>'III. Data Inputs-BE'!$B$40</f>
        <v>August</v>
      </c>
      <c r="C53" s="140">
        <f>'III. Data Inputs-BE'!$E$40</f>
        <v>31</v>
      </c>
      <c r="D53" s="452">
        <f>MIN(0.95, MAX(0.104,EXP(15175*(('III. Data Inputs-BE'!$C$40+273)-303.16)/(1.987*('III. Data Inputs-BE'!$C$40+273)*303.16))))</f>
        <v>0.104</v>
      </c>
      <c r="E53" s="300">
        <f t="shared" si="3"/>
        <v>0</v>
      </c>
      <c r="F53" s="148">
        <f>(E53*'III. Data Inputs-BE'!C77*'III. Data Inputs-BE'!$C$176*C53*0.8)+G53</f>
        <v>0</v>
      </c>
      <c r="G53" s="450">
        <f>IF('III. Data Inputs-BE'!$H$34=TRUE,0,IF('III. Data Inputs-BE'!$C$138="Yes",0,(F52-H52)*(1-INDEX('III. Data Inputs-BE'!$B$141:$D$154, MATCH('V. BE CH4,AS'!B52, 'III. Data Inputs-BE'!$B$141:$B$154,0), MATCH('V. BE CH4,AS'!$C$42,'III. Data Inputs-BE'!$B$141:$D$141,0)))))</f>
        <v>0</v>
      </c>
      <c r="H53" s="148">
        <f t="shared" si="5"/>
        <v>0</v>
      </c>
      <c r="I53" s="148">
        <f>IF('III. Data Inputs-BE'!D40=0,0,H53*'III. Data Inputs-BE'!$C$107*0.68*0.001)*('III. Data Inputs-BE'!G40/'III. Data Inputs-BE'!E40)</f>
        <v>0</v>
      </c>
      <c r="J53" s="148">
        <f t="shared" si="4"/>
        <v>0</v>
      </c>
      <c r="K53" s="4"/>
      <c r="L53" s="4"/>
      <c r="M53" s="4"/>
      <c r="O53" s="4"/>
      <c r="P53" s="127"/>
      <c r="Q53" s="127"/>
      <c r="R53" s="127"/>
    </row>
    <row r="54" spans="1:94" ht="13" x14ac:dyDescent="0.3">
      <c r="B54" s="292" t="str">
        <f>'III. Data Inputs-BE'!$B$41</f>
        <v>September</v>
      </c>
      <c r="C54" s="140">
        <f>'III. Data Inputs-BE'!$E$41</f>
        <v>30</v>
      </c>
      <c r="D54" s="452">
        <f>MIN(0.95, MAX(0.104,EXP(15175*(('III. Data Inputs-BE'!$C$41+273)-303.16)/(1.987*('III. Data Inputs-BE'!$C$41+273)*303.16))))</f>
        <v>0.104</v>
      </c>
      <c r="E54" s="300">
        <f t="shared" si="3"/>
        <v>0</v>
      </c>
      <c r="F54" s="148">
        <f>(E54*'III. Data Inputs-BE'!C78*'III. Data Inputs-BE'!$C$176*C54*0.8)+G54</f>
        <v>0</v>
      </c>
      <c r="G54" s="450">
        <f>IF('III. Data Inputs-BE'!$H$34=TRUE,0,IF('III. Data Inputs-BE'!$C$138="Yes",0,(F53-H53)*(1-INDEX('III. Data Inputs-BE'!$B$141:$D$154, MATCH('V. BE CH4,AS'!B53, 'III. Data Inputs-BE'!$B$141:$B$154,0), MATCH('V. BE CH4,AS'!$C$42,'III. Data Inputs-BE'!$B$141:$D$141,0)))))</f>
        <v>0</v>
      </c>
      <c r="H54" s="148">
        <f t="shared" si="5"/>
        <v>0</v>
      </c>
      <c r="I54" s="148">
        <f>IF('III. Data Inputs-BE'!D41=0,0,H54*'III. Data Inputs-BE'!$C$107*0.68*0.001)*('III. Data Inputs-BE'!G41/'III. Data Inputs-BE'!E41)</f>
        <v>0</v>
      </c>
      <c r="J54" s="148">
        <f t="shared" si="4"/>
        <v>0</v>
      </c>
      <c r="K54" s="4"/>
      <c r="L54" s="4"/>
      <c r="M54" s="4"/>
      <c r="O54" s="4"/>
      <c r="P54" s="36"/>
      <c r="Q54" s="36"/>
      <c r="R54" s="36"/>
    </row>
    <row r="55" spans="1:94" ht="13" x14ac:dyDescent="0.3">
      <c r="B55" s="292" t="str">
        <f>'III. Data Inputs-BE'!$B$42</f>
        <v>October</v>
      </c>
      <c r="C55" s="140">
        <f>'III. Data Inputs-BE'!$E$42</f>
        <v>31</v>
      </c>
      <c r="D55" s="452">
        <f>MIN(0.95, MAX(0.104,EXP(15175*(('III. Data Inputs-BE'!$C$42+273)-303.16)/(1.987*('III. Data Inputs-BE'!$C$42+273)*303.16))))</f>
        <v>0.104</v>
      </c>
      <c r="E55" s="300">
        <f t="shared" si="3"/>
        <v>0</v>
      </c>
      <c r="F55" s="148">
        <f>(E55*'III. Data Inputs-BE'!C79*'III. Data Inputs-BE'!$C$176*C55*0.8)+G55</f>
        <v>0</v>
      </c>
      <c r="G55" s="450">
        <f>IF('III. Data Inputs-BE'!$H$34=TRUE,0,IF('III. Data Inputs-BE'!$C$138="Yes",0,(F54-H54)*(1-INDEX('III. Data Inputs-BE'!$B$141:$D$154, MATCH('V. BE CH4,AS'!B54, 'III. Data Inputs-BE'!$B$141:$B$154,0), MATCH('V. BE CH4,AS'!$C$42,'III. Data Inputs-BE'!$B$141:$D$141,0)))))</f>
        <v>0</v>
      </c>
      <c r="H55" s="148">
        <f t="shared" si="5"/>
        <v>0</v>
      </c>
      <c r="I55" s="148">
        <f>IF('III. Data Inputs-BE'!D42=0,0,H55*'III. Data Inputs-BE'!$C$107*0.68*0.001)*('III. Data Inputs-BE'!G42/'III. Data Inputs-BE'!E42)</f>
        <v>0</v>
      </c>
      <c r="J55" s="148">
        <f t="shared" si="4"/>
        <v>0</v>
      </c>
      <c r="K55" s="4"/>
      <c r="L55" s="4"/>
      <c r="M55" s="4"/>
      <c r="O55" s="4"/>
      <c r="P55" s="36"/>
      <c r="Q55" s="36"/>
      <c r="R55" s="36"/>
    </row>
    <row r="56" spans="1:94" x14ac:dyDescent="0.25">
      <c r="B56" s="292" t="str">
        <f>'III. Data Inputs-BE'!$B$43</f>
        <v>November</v>
      </c>
      <c r="C56" s="140">
        <f>'III. Data Inputs-BE'!$E$43</f>
        <v>30</v>
      </c>
      <c r="D56" s="452">
        <f>MIN(0.95, MAX(0.104,EXP(15175*(('III. Data Inputs-BE'!$C$43+273)-303.16)/(1.987*('III. Data Inputs-BE'!$C$43+273)*303.16))))</f>
        <v>0.104</v>
      </c>
      <c r="E56" s="300">
        <f t="shared" si="3"/>
        <v>0</v>
      </c>
      <c r="F56" s="148">
        <f>(E56*'III. Data Inputs-BE'!C80*'III. Data Inputs-BE'!$C$176*C56*0.8)+G56</f>
        <v>0</v>
      </c>
      <c r="G56" s="450">
        <f>IF('III. Data Inputs-BE'!$H$34=TRUE,0,IF('III. Data Inputs-BE'!$C$138="Yes",0,(F55-H55)*(1-INDEX('III. Data Inputs-BE'!$B$141:$D$154, MATCH('V. BE CH4,AS'!B55, 'III. Data Inputs-BE'!$B$141:$B$154,0), MATCH('V. BE CH4,AS'!$C$42,'III. Data Inputs-BE'!$B$141:$D$141,0)))))</f>
        <v>0</v>
      </c>
      <c r="H56" s="148">
        <f t="shared" si="5"/>
        <v>0</v>
      </c>
      <c r="I56" s="148">
        <f>IF('III. Data Inputs-BE'!D43=0,0,H56*'III. Data Inputs-BE'!$C$107*0.68*0.001)*('III. Data Inputs-BE'!G43/'III. Data Inputs-BE'!E43)</f>
        <v>0</v>
      </c>
      <c r="J56" s="148">
        <f t="shared" si="4"/>
        <v>0</v>
      </c>
      <c r="K56" s="36"/>
      <c r="L56" s="36"/>
      <c r="M56" s="36"/>
    </row>
    <row r="57" spans="1:94" x14ac:dyDescent="0.25">
      <c r="B57" s="528" t="str">
        <f>'III. Data Inputs-BE'!$B$44</f>
        <v>December</v>
      </c>
      <c r="C57" s="464">
        <f>'III. Data Inputs-BE'!$E$44</f>
        <v>31</v>
      </c>
      <c r="D57" s="452">
        <f>MIN(0.95, MAX(0.104,EXP(15175*(('III. Data Inputs-BE'!$C$44+273)-303.16)/(1.987*('III. Data Inputs-BE'!$C$44+273)*303.16))))</f>
        <v>0.104</v>
      </c>
      <c r="E57" s="466">
        <f t="shared" si="3"/>
        <v>0</v>
      </c>
      <c r="F57" s="465">
        <f>(E57*'III. Data Inputs-BE'!C81*'III. Data Inputs-BE'!$C$176*C57*0.8)+G57</f>
        <v>0</v>
      </c>
      <c r="G57" s="467">
        <f>IF('III. Data Inputs-BE'!$H$34=TRUE,0,IF('III. Data Inputs-BE'!$C$138="Yes",0,(F56-H56)*(1-INDEX('III. Data Inputs-BE'!$B$141:$D$154, MATCH('V. BE CH4,AS'!B56, 'III. Data Inputs-BE'!$B$141:$B$154,0), MATCH('V. BE CH4,AS'!$C$42,'III. Data Inputs-BE'!$B$141:$D$141,0)))))</f>
        <v>0</v>
      </c>
      <c r="H57" s="148">
        <f t="shared" si="5"/>
        <v>0</v>
      </c>
      <c r="I57" s="148">
        <f>IF('III. Data Inputs-BE'!D44=0,0,H57*'III. Data Inputs-BE'!$C$107*0.68*0.001)*('III. Data Inputs-BE'!G44/'III. Data Inputs-BE'!E44)</f>
        <v>0</v>
      </c>
      <c r="J57" s="148">
        <f t="shared" si="4"/>
        <v>0</v>
      </c>
      <c r="K57" s="96"/>
      <c r="L57" s="96"/>
    </row>
    <row r="58" spans="1:94" ht="13" x14ac:dyDescent="0.3">
      <c r="B58" s="525" t="s">
        <v>396</v>
      </c>
      <c r="C58" s="468"/>
      <c r="D58" s="456"/>
      <c r="E58" s="456"/>
      <c r="F58" s="469"/>
      <c r="G58" s="470"/>
      <c r="H58" s="463">
        <f>SUM(H46:H57)</f>
        <v>0</v>
      </c>
      <c r="I58" s="462">
        <f>SUM(I46:I57)</f>
        <v>0</v>
      </c>
      <c r="J58" s="462">
        <f>SUM(J46:J57)</f>
        <v>0</v>
      </c>
    </row>
    <row r="59" spans="1:94" ht="13" x14ac:dyDescent="0.3">
      <c r="B59" s="517"/>
      <c r="C59" s="3"/>
      <c r="D59" s="57"/>
      <c r="E59" s="57"/>
      <c r="F59" s="58"/>
      <c r="G59" s="58"/>
      <c r="H59" s="58"/>
      <c r="I59" s="58"/>
      <c r="J59" s="58"/>
    </row>
    <row r="60" spans="1:94" ht="13" x14ac:dyDescent="0.3">
      <c r="B60" s="526" t="s">
        <v>393</v>
      </c>
      <c r="C60" s="428"/>
      <c r="D60" s="460"/>
      <c r="E60" s="460"/>
      <c r="F60" s="461"/>
      <c r="G60" s="458">
        <f>F57-H57</f>
        <v>0</v>
      </c>
      <c r="H60" s="58"/>
      <c r="I60" s="58"/>
      <c r="J60" s="58"/>
    </row>
    <row r="61" spans="1:94" ht="62.5" x14ac:dyDescent="0.3">
      <c r="G61" s="459" t="s">
        <v>394</v>
      </c>
      <c r="H61" s="58"/>
      <c r="I61" s="58"/>
      <c r="J61" s="58"/>
    </row>
    <row r="63" spans="1:94" s="60" customFormat="1" ht="13" x14ac:dyDescent="0.3">
      <c r="A63" s="13"/>
      <c r="B63" s="39"/>
      <c r="C63" s="4"/>
      <c r="D63" s="126"/>
      <c r="E63" s="549" t="s">
        <v>395</v>
      </c>
      <c r="F63" s="554"/>
      <c r="G63" s="554"/>
      <c r="H63" s="554"/>
      <c r="I63" s="554"/>
      <c r="J63" s="554"/>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13"/>
      <c r="CK63" s="13"/>
      <c r="CL63" s="13"/>
      <c r="CM63" s="13"/>
      <c r="CN63" s="13"/>
      <c r="CO63" s="13"/>
      <c r="CP63" s="13"/>
    </row>
    <row r="64" spans="1:94" s="60" customFormat="1" ht="13" x14ac:dyDescent="0.25">
      <c r="A64" s="13"/>
      <c r="B64" s="517"/>
      <c r="C64" s="46"/>
      <c r="D64" s="41"/>
      <c r="E64" s="554"/>
      <c r="F64" s="554"/>
      <c r="G64" s="554"/>
      <c r="H64" s="554"/>
      <c r="I64" s="554"/>
      <c r="J64" s="554"/>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c r="AX64" s="13"/>
      <c r="AY64" s="13"/>
      <c r="AZ64" s="13"/>
      <c r="BA64" s="13"/>
      <c r="BB64" s="13"/>
      <c r="BC64" s="13"/>
      <c r="BD64" s="13"/>
      <c r="BE64" s="13"/>
      <c r="BF64" s="13"/>
      <c r="BG64" s="13"/>
      <c r="BH64" s="13"/>
      <c r="BI64" s="13"/>
      <c r="BJ64" s="13"/>
      <c r="BK64" s="13"/>
      <c r="BL64" s="13"/>
      <c r="BM64" s="13"/>
      <c r="BN64" s="13"/>
      <c r="BO64" s="13"/>
      <c r="BP64" s="13"/>
      <c r="BQ64" s="13"/>
      <c r="BR64" s="13"/>
      <c r="BS64" s="13"/>
      <c r="BT64" s="13"/>
      <c r="BU64" s="13"/>
      <c r="BV64" s="13"/>
      <c r="BW64" s="13"/>
      <c r="BX64" s="13"/>
      <c r="BY64" s="13"/>
      <c r="BZ64" s="13"/>
      <c r="CA64" s="13"/>
      <c r="CB64" s="13"/>
      <c r="CC64" s="13"/>
      <c r="CD64" s="13"/>
      <c r="CE64" s="13"/>
      <c r="CF64" s="13"/>
      <c r="CG64" s="13"/>
      <c r="CH64" s="13"/>
      <c r="CI64" s="13"/>
      <c r="CJ64" s="13"/>
      <c r="CK64" s="13"/>
      <c r="CL64" s="13"/>
      <c r="CM64" s="13"/>
      <c r="CN64" s="13"/>
      <c r="CO64" s="13"/>
      <c r="CP64" s="13"/>
    </row>
    <row r="65" spans="1:94" s="60" customFormat="1" ht="13" x14ac:dyDescent="0.25">
      <c r="A65" s="13"/>
      <c r="B65" s="517"/>
      <c r="C65" s="46"/>
      <c r="D65" s="41"/>
      <c r="E65" s="554"/>
      <c r="F65" s="554"/>
      <c r="G65" s="554"/>
      <c r="H65" s="554"/>
      <c r="I65" s="554"/>
      <c r="J65" s="554"/>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c r="AZ65" s="13"/>
      <c r="BA65" s="13"/>
      <c r="BB65" s="13"/>
      <c r="BC65" s="13"/>
      <c r="BD65" s="13"/>
      <c r="BE65" s="13"/>
      <c r="BF65" s="13"/>
      <c r="BG65" s="13"/>
      <c r="BH65" s="13"/>
      <c r="BI65" s="13"/>
      <c r="BJ65" s="13"/>
      <c r="BK65" s="13"/>
      <c r="BL65" s="13"/>
      <c r="BM65" s="13"/>
      <c r="BN65" s="13"/>
      <c r="BO65" s="13"/>
      <c r="BP65" s="13"/>
      <c r="BQ65" s="13"/>
      <c r="BR65" s="13"/>
      <c r="BS65" s="13"/>
      <c r="BT65" s="13"/>
      <c r="BU65" s="13"/>
      <c r="BV65" s="13"/>
      <c r="BW65" s="13"/>
      <c r="BX65" s="13"/>
      <c r="BY65" s="13"/>
      <c r="BZ65" s="13"/>
      <c r="CA65" s="13"/>
      <c r="CB65" s="13"/>
      <c r="CC65" s="13"/>
      <c r="CD65" s="13"/>
      <c r="CE65" s="13"/>
      <c r="CF65" s="13"/>
      <c r="CG65" s="13"/>
      <c r="CH65" s="13"/>
      <c r="CI65" s="13"/>
      <c r="CJ65" s="13"/>
      <c r="CK65" s="13"/>
      <c r="CL65" s="13"/>
      <c r="CM65" s="13"/>
      <c r="CN65" s="13"/>
      <c r="CO65" s="13"/>
      <c r="CP65" s="13"/>
    </row>
    <row r="66" spans="1:94" ht="39" x14ac:dyDescent="0.3">
      <c r="B66" s="395" t="str">
        <f>'III. Data Inputs-BE'!B52</f>
        <v>Population 2</v>
      </c>
      <c r="C66" s="453" t="str">
        <f>'III. Data Inputs-BE'!B121</f>
        <v>Liquid/Slurry w/natural crust cover</v>
      </c>
      <c r="D66" s="138"/>
      <c r="E66" s="57"/>
      <c r="F66" s="57"/>
      <c r="G66" s="57"/>
      <c r="H66" s="57"/>
      <c r="I66" s="57"/>
      <c r="J66" s="57"/>
    </row>
    <row r="67" spans="1:94" ht="15" x14ac:dyDescent="0.3">
      <c r="B67" s="524" t="s">
        <v>383</v>
      </c>
      <c r="C67" s="454">
        <f>'III. Data Inputs-BE'!D94</f>
        <v>0</v>
      </c>
      <c r="E67" s="58"/>
      <c r="F67" s="57"/>
      <c r="G67" s="57"/>
      <c r="H67" s="57"/>
      <c r="I67" s="57"/>
      <c r="J67" s="57"/>
    </row>
    <row r="68" spans="1:94" ht="13" x14ac:dyDescent="0.3">
      <c r="B68" s="524"/>
      <c r="C68" s="128"/>
      <c r="E68" s="58"/>
      <c r="F68" s="57"/>
      <c r="G68" s="57"/>
      <c r="H68" s="57"/>
      <c r="I68" s="57"/>
      <c r="J68" s="57"/>
    </row>
    <row r="69" spans="1:94" ht="29" x14ac:dyDescent="0.4">
      <c r="B69" s="369" t="s">
        <v>195</v>
      </c>
      <c r="C69" s="128" t="s">
        <v>384</v>
      </c>
      <c r="D69" s="447" t="s">
        <v>385</v>
      </c>
      <c r="E69" s="448" t="s">
        <v>386</v>
      </c>
      <c r="F69" s="435" t="s">
        <v>387</v>
      </c>
      <c r="G69" s="448" t="s">
        <v>388</v>
      </c>
      <c r="H69" s="435" t="s">
        <v>389</v>
      </c>
      <c r="I69" s="435" t="s">
        <v>390</v>
      </c>
      <c r="J69" s="435" t="s">
        <v>391</v>
      </c>
    </row>
    <row r="70" spans="1:94" s="46" customFormat="1" x14ac:dyDescent="0.25">
      <c r="B70" s="292" t="str">
        <f>'III. Data Inputs-BE'!$B$33</f>
        <v>January</v>
      </c>
      <c r="C70" s="140">
        <f>'III. Data Inputs-BE'!$E$33</f>
        <v>31</v>
      </c>
      <c r="D70" s="452">
        <f>MIN(0.95, MAX(0.104,EXP(15175*(('III. Data Inputs-BE'!$C$33+273)-303.16)/(1.987*('III. Data Inputs-BE'!$C$33+273)*303.16))))</f>
        <v>0.104</v>
      </c>
      <c r="E70" s="300">
        <f t="shared" ref="E70:E80" si="6">$C$67</f>
        <v>0</v>
      </c>
      <c r="F70" s="148">
        <f>(E70*'III. Data Inputs-BE'!D70*'III. Data Inputs-BE'!$D$175*C70*0.8)+G70</f>
        <v>0</v>
      </c>
      <c r="G70" s="449"/>
      <c r="H70" s="148">
        <f>F70*D70</f>
        <v>0</v>
      </c>
      <c r="I70" s="148">
        <f>IF('III. Data Inputs-BE'!D33=0,0,H70*'III. Data Inputs-BE'!$C$108*0.68*0.001)*('III. Data Inputs-BE'!G33/'III. Data Inputs-BE'!E33)</f>
        <v>0</v>
      </c>
      <c r="J70" s="148">
        <f t="shared" ref="J70:J81" si="7">I70*gwp_ch4</f>
        <v>0</v>
      </c>
      <c r="K70" s="96"/>
      <c r="L70" s="96"/>
      <c r="M70" s="96"/>
      <c r="N70" s="96"/>
      <c r="O70" s="96"/>
      <c r="P70" s="96"/>
      <c r="Q70" s="96"/>
    </row>
    <row r="71" spans="1:94" ht="13" x14ac:dyDescent="0.3">
      <c r="B71" s="292" t="str">
        <f>'III. Data Inputs-BE'!$B$34</f>
        <v>February</v>
      </c>
      <c r="C71" s="140">
        <f>'III. Data Inputs-BE'!$E$34</f>
        <v>28</v>
      </c>
      <c r="D71" s="452">
        <f>MIN(0.95, MAX(0.104,EXP(15175*(('III. Data Inputs-BE'!$C$34+273)-303.16)/(1.987*('III. Data Inputs-BE'!$C$34+273)*303.16))))</f>
        <v>0.104</v>
      </c>
      <c r="E71" s="300">
        <f t="shared" si="6"/>
        <v>0</v>
      </c>
      <c r="F71" s="148">
        <f>(E71*'III. Data Inputs-BE'!D71*'III. Data Inputs-BE'!$D$175*C71*0.8)+G71</f>
        <v>0</v>
      </c>
      <c r="G71" s="450">
        <f>IF('III. Data Inputs-BE'!$H$34=TRUE,0,IF('III. Data Inputs-BE'!$C$138="Yes",0,(F70-H70)*(1-INDEX('III. Data Inputs-BE'!$B$141:$D$154, MATCH('V. BE CH4,AS'!B70, 'III. Data Inputs-BE'!$B$141:$B$154,0), MATCH('V. BE CH4,AS'!$C$66,'III. Data Inputs-BE'!$B$141:$D$141,0)))))</f>
        <v>0</v>
      </c>
      <c r="H71" s="148">
        <f t="shared" ref="H71:H81" si="8">F71*D71</f>
        <v>0</v>
      </c>
      <c r="I71" s="148">
        <f>IF('III. Data Inputs-BE'!D34=0,0,H71*'III. Data Inputs-BE'!$C$108*0.68*0.001)*('III. Data Inputs-BE'!G34/'III. Data Inputs-BE'!E34)</f>
        <v>0</v>
      </c>
      <c r="J71" s="148">
        <f t="shared" si="7"/>
        <v>0</v>
      </c>
      <c r="K71" s="4"/>
      <c r="L71" s="4"/>
      <c r="M71" s="4"/>
      <c r="O71" s="46"/>
    </row>
    <row r="72" spans="1:94" ht="13" x14ac:dyDescent="0.3">
      <c r="B72" s="292" t="str">
        <f>'III. Data Inputs-BE'!$B$35</f>
        <v>March</v>
      </c>
      <c r="C72" s="140">
        <f>'III. Data Inputs-BE'!$E$35</f>
        <v>31</v>
      </c>
      <c r="D72" s="452">
        <f>MIN(0.95, MAX(0.104,EXP(15175*(('III. Data Inputs-BE'!$C$35+273)-303.16)/(1.987*('III. Data Inputs-BE'!$C$35+273)*303.16))))</f>
        <v>0.104</v>
      </c>
      <c r="E72" s="300">
        <f t="shared" si="6"/>
        <v>0</v>
      </c>
      <c r="F72" s="148">
        <f>(E72*'III. Data Inputs-BE'!D72*'III. Data Inputs-BE'!$D$175*C72*0.8)+G72</f>
        <v>0</v>
      </c>
      <c r="G72" s="450">
        <f>IF('III. Data Inputs-BE'!$H$34=TRUE,0,IF('III. Data Inputs-BE'!$C$138="Yes",0,(F71-H71)*(1-INDEX('III. Data Inputs-BE'!$B$141:$D$154, MATCH('V. BE CH4,AS'!B71, 'III. Data Inputs-BE'!$B$141:$B$154,0), MATCH('V. BE CH4,AS'!$C$66,'III. Data Inputs-BE'!$B$141:$D$141,0)))))</f>
        <v>0</v>
      </c>
      <c r="H72" s="148">
        <f t="shared" si="8"/>
        <v>0</v>
      </c>
      <c r="I72" s="148">
        <f>IF('III. Data Inputs-BE'!D35=0,0,H72*'III. Data Inputs-BE'!$C$108*0.68*0.001)*('III. Data Inputs-BE'!G35/'III. Data Inputs-BE'!E35)</f>
        <v>0</v>
      </c>
      <c r="J72" s="148">
        <f t="shared" si="7"/>
        <v>0</v>
      </c>
      <c r="K72" s="4"/>
      <c r="L72" s="4"/>
      <c r="M72" s="4"/>
      <c r="O72" s="46"/>
    </row>
    <row r="73" spans="1:94" x14ac:dyDescent="0.25">
      <c r="B73" s="292" t="str">
        <f>'III. Data Inputs-BE'!$B$36</f>
        <v>April</v>
      </c>
      <c r="C73" s="140">
        <f>'III. Data Inputs-BE'!$E$36</f>
        <v>30</v>
      </c>
      <c r="D73" s="452">
        <f>MIN(0.95, MAX(0.104,EXP(15175*(('III. Data Inputs-BE'!$C$36+273)-303.16)/(1.987*('III. Data Inputs-BE'!$C$36+273)*303.16))))</f>
        <v>0.104</v>
      </c>
      <c r="E73" s="300">
        <f t="shared" si="6"/>
        <v>0</v>
      </c>
      <c r="F73" s="148">
        <f>(E73*'III. Data Inputs-BE'!D73*'III. Data Inputs-BE'!$D$175*C73*0.8)+G73</f>
        <v>0</v>
      </c>
      <c r="G73" s="450">
        <f>IF('III. Data Inputs-BE'!$H$34=TRUE,0,IF('III. Data Inputs-BE'!$C$138="Yes",0,(F72-H72)*(1-INDEX('III. Data Inputs-BE'!$B$141:$D$154, MATCH('V. BE CH4,AS'!B72, 'III. Data Inputs-BE'!$B$141:$B$154,0), MATCH('V. BE CH4,AS'!$C$66,'III. Data Inputs-BE'!$B$141:$D$141,0)))))</f>
        <v>0</v>
      </c>
      <c r="H73" s="148">
        <f t="shared" si="8"/>
        <v>0</v>
      </c>
      <c r="I73" s="148">
        <f>IF('III. Data Inputs-BE'!D36=0,0,H73*'III. Data Inputs-BE'!$C$108*0.68*0.001)*('III. Data Inputs-BE'!G36/'III. Data Inputs-BE'!E36)</f>
        <v>0</v>
      </c>
      <c r="J73" s="148">
        <f t="shared" si="7"/>
        <v>0</v>
      </c>
      <c r="K73" s="36"/>
      <c r="L73" s="36"/>
      <c r="M73" s="36"/>
    </row>
    <row r="74" spans="1:94" x14ac:dyDescent="0.25">
      <c r="B74" s="292" t="str">
        <f>'III. Data Inputs-BE'!$B$37</f>
        <v>May</v>
      </c>
      <c r="C74" s="140">
        <f>'III. Data Inputs-BE'!$E$37</f>
        <v>31</v>
      </c>
      <c r="D74" s="452">
        <f>MIN(0.95, MAX(0.104,EXP(15175*(('III. Data Inputs-BE'!$C$37+273)-303.16)/(1.987*('III. Data Inputs-BE'!$C$37+273)*303.16))))</f>
        <v>0.104</v>
      </c>
      <c r="E74" s="300">
        <f t="shared" si="6"/>
        <v>0</v>
      </c>
      <c r="F74" s="148">
        <f>(E74*'III. Data Inputs-BE'!D74*'III. Data Inputs-BE'!$D$175*C74*0.8)+G74</f>
        <v>0</v>
      </c>
      <c r="G74" s="450">
        <f>IF('III. Data Inputs-BE'!$H$34=TRUE,0,IF('III. Data Inputs-BE'!$C$138="Yes",0,(F73-H73)*(1-INDEX('III. Data Inputs-BE'!$B$141:$D$154, MATCH('V. BE CH4,AS'!B73, 'III. Data Inputs-BE'!$B$141:$B$154,0), MATCH('V. BE CH4,AS'!$C$66,'III. Data Inputs-BE'!$B$141:$D$141,0)))))</f>
        <v>0</v>
      </c>
      <c r="H74" s="148">
        <f t="shared" si="8"/>
        <v>0</v>
      </c>
      <c r="I74" s="148">
        <f>IF('III. Data Inputs-BE'!D37=0,0,H74*'III. Data Inputs-BE'!$C$108*0.68*0.001)*('III. Data Inputs-BE'!G37/'III. Data Inputs-BE'!E37)</f>
        <v>0</v>
      </c>
      <c r="J74" s="148">
        <f t="shared" si="7"/>
        <v>0</v>
      </c>
      <c r="K74" s="96"/>
      <c r="L74" s="96"/>
      <c r="O74" s="46"/>
      <c r="P74" s="27"/>
    </row>
    <row r="75" spans="1:94" ht="13" x14ac:dyDescent="0.3">
      <c r="B75" s="292" t="str">
        <f>'III. Data Inputs-BE'!$B$38</f>
        <v>June</v>
      </c>
      <c r="C75" s="140">
        <f>'III. Data Inputs-BE'!$E$38</f>
        <v>30</v>
      </c>
      <c r="D75" s="452">
        <f>MIN(0.95, MAX(0.104,EXP(15175*(('III. Data Inputs-BE'!$C$38+273)-303.16)/(1.987*('III. Data Inputs-BE'!$C$38+273)*303.16))))</f>
        <v>0.104</v>
      </c>
      <c r="E75" s="300">
        <f t="shared" si="6"/>
        <v>0</v>
      </c>
      <c r="F75" s="148">
        <f>(E75*'III. Data Inputs-BE'!D75*'III. Data Inputs-BE'!$D$175*C75*0.8)+G75</f>
        <v>0</v>
      </c>
      <c r="G75" s="450">
        <f>IF('III. Data Inputs-BE'!$H$34=TRUE,0,IF('III. Data Inputs-BE'!$C$138="Yes",0,(F74-H74)*(1-INDEX('III. Data Inputs-BE'!$B$141:$D$154, MATCH('V. BE CH4,AS'!B74, 'III. Data Inputs-BE'!$B$141:$B$154,0), MATCH('V. BE CH4,AS'!$C$66,'III. Data Inputs-BE'!$B$141:$D$141,0)))))</f>
        <v>0</v>
      </c>
      <c r="H75" s="148">
        <f t="shared" si="8"/>
        <v>0</v>
      </c>
      <c r="I75" s="148">
        <f>IF('III. Data Inputs-BE'!D38=0,0,H75*'III. Data Inputs-BE'!$C$108*0.68*0.001)*('III. Data Inputs-BE'!G38/'III. Data Inputs-BE'!E38)</f>
        <v>0</v>
      </c>
      <c r="J75" s="148">
        <f t="shared" si="7"/>
        <v>0</v>
      </c>
      <c r="N75" s="3"/>
      <c r="O75" s="46"/>
    </row>
    <row r="76" spans="1:94" x14ac:dyDescent="0.25">
      <c r="B76" s="292" t="str">
        <f>'III. Data Inputs-BE'!$B$39</f>
        <v>July</v>
      </c>
      <c r="C76" s="140">
        <f>'III. Data Inputs-BE'!$E$39</f>
        <v>31</v>
      </c>
      <c r="D76" s="452">
        <f>MIN(0.95, MAX(0.104,EXP(15175*(('III. Data Inputs-BE'!$C$39+273)-303.16)/(1.987*('III. Data Inputs-BE'!$C$39+273)*303.16))))</f>
        <v>0.104</v>
      </c>
      <c r="E76" s="300">
        <f t="shared" si="6"/>
        <v>0</v>
      </c>
      <c r="F76" s="148">
        <f>(E76*'III. Data Inputs-BE'!D76*'III. Data Inputs-BE'!$D$175*C76*0.8)+G76</f>
        <v>0</v>
      </c>
      <c r="G76" s="450">
        <f>IF('III. Data Inputs-BE'!$H$34=TRUE,0,IF('III. Data Inputs-BE'!$C$138="Yes",0,(F75-H75)*(1-INDEX('III. Data Inputs-BE'!$B$141:$D$154, MATCH('V. BE CH4,AS'!B75, 'III. Data Inputs-BE'!$B$141:$B$154,0), MATCH('V. BE CH4,AS'!$C$66,'III. Data Inputs-BE'!$B$141:$D$141,0)))))</f>
        <v>0</v>
      </c>
      <c r="H76" s="148">
        <f t="shared" si="8"/>
        <v>0</v>
      </c>
      <c r="I76" s="148">
        <f>IF('III. Data Inputs-BE'!D39=0,0,H76*'III. Data Inputs-BE'!$C$108*0.68*0.001)*('III. Data Inputs-BE'!G39/'III. Data Inputs-BE'!E39)</f>
        <v>0</v>
      </c>
      <c r="J76" s="148">
        <f t="shared" si="7"/>
        <v>0</v>
      </c>
    </row>
    <row r="77" spans="1:94" x14ac:dyDescent="0.25">
      <c r="B77" s="292" t="str">
        <f>'III. Data Inputs-BE'!$B$40</f>
        <v>August</v>
      </c>
      <c r="C77" s="140">
        <f>'III. Data Inputs-BE'!$E$40</f>
        <v>31</v>
      </c>
      <c r="D77" s="452">
        <f>MIN(0.95, MAX(0.104,EXP(15175*(('III. Data Inputs-BE'!$C$40+273)-303.16)/(1.987*('III. Data Inputs-BE'!$C$40+273)*303.16))))</f>
        <v>0.104</v>
      </c>
      <c r="E77" s="300">
        <f t="shared" si="6"/>
        <v>0</v>
      </c>
      <c r="F77" s="148">
        <f>(E77*'III. Data Inputs-BE'!D77*'III. Data Inputs-BE'!$D$175*C77*0.8)+G77</f>
        <v>0</v>
      </c>
      <c r="G77" s="450">
        <f>IF('III. Data Inputs-BE'!$H$34=TRUE,0,IF('III. Data Inputs-BE'!$C$138="Yes",0,(F76-H76)*(1-INDEX('III. Data Inputs-BE'!$B$141:$D$154, MATCH('V. BE CH4,AS'!B76, 'III. Data Inputs-BE'!$B$141:$B$154,0), MATCH('V. BE CH4,AS'!$C$66,'III. Data Inputs-BE'!$B$141:$D$141,0)))))</f>
        <v>0</v>
      </c>
      <c r="H77" s="148">
        <f t="shared" si="8"/>
        <v>0</v>
      </c>
      <c r="I77" s="148">
        <f>IF('III. Data Inputs-BE'!D40=0,0,H77*'III. Data Inputs-BE'!$C$108*0.68*0.001)*('III. Data Inputs-BE'!G40/'III. Data Inputs-BE'!E40)</f>
        <v>0</v>
      </c>
      <c r="J77" s="148">
        <f t="shared" si="7"/>
        <v>0</v>
      </c>
    </row>
    <row r="78" spans="1:94" x14ac:dyDescent="0.25">
      <c r="B78" s="292" t="str">
        <f>'III. Data Inputs-BE'!$B$41</f>
        <v>September</v>
      </c>
      <c r="C78" s="140">
        <f>'III. Data Inputs-BE'!$E$41</f>
        <v>30</v>
      </c>
      <c r="D78" s="452">
        <f>MIN(0.95, MAX(0.104,EXP(15175*(('III. Data Inputs-BE'!$C$41+273)-303.16)/(1.987*('III. Data Inputs-BE'!$C$41+273)*303.16))))</f>
        <v>0.104</v>
      </c>
      <c r="E78" s="300">
        <f t="shared" si="6"/>
        <v>0</v>
      </c>
      <c r="F78" s="148">
        <f>(E78*'III. Data Inputs-BE'!D78*'III. Data Inputs-BE'!$D$175*C78*0.8)+G78</f>
        <v>0</v>
      </c>
      <c r="G78" s="450">
        <f>IF('III. Data Inputs-BE'!$H$34=TRUE,0,IF('III. Data Inputs-BE'!$C$138="Yes",0,(F77-H77)*(1-INDEX('III. Data Inputs-BE'!$B$141:$D$154, MATCH('V. BE CH4,AS'!B77, 'III. Data Inputs-BE'!$B$141:$B$154,0), MATCH('V. BE CH4,AS'!$C$66,'III. Data Inputs-BE'!$B$141:$D$141,0)))))</f>
        <v>0</v>
      </c>
      <c r="H78" s="148">
        <f t="shared" si="8"/>
        <v>0</v>
      </c>
      <c r="I78" s="148">
        <f>IF('III. Data Inputs-BE'!D41=0,0,H78*'III. Data Inputs-BE'!$C$108*0.68*0.001)*('III. Data Inputs-BE'!G41/'III. Data Inputs-BE'!E41)</f>
        <v>0</v>
      </c>
      <c r="J78" s="148">
        <f t="shared" si="7"/>
        <v>0</v>
      </c>
    </row>
    <row r="79" spans="1:94" x14ac:dyDescent="0.25">
      <c r="B79" s="292" t="str">
        <f>'III. Data Inputs-BE'!$B$42</f>
        <v>October</v>
      </c>
      <c r="C79" s="140">
        <f>'III. Data Inputs-BE'!$E$42</f>
        <v>31</v>
      </c>
      <c r="D79" s="452">
        <f>MIN(0.95, MAX(0.104,EXP(15175*(('III. Data Inputs-BE'!$C$42+273)-303.16)/(1.987*('III. Data Inputs-BE'!$C$42+273)*303.16))))</f>
        <v>0.104</v>
      </c>
      <c r="E79" s="300">
        <f t="shared" si="6"/>
        <v>0</v>
      </c>
      <c r="F79" s="148">
        <f>(E79*'III. Data Inputs-BE'!D79*'III. Data Inputs-BE'!$D$175*C79*0.8)+G79</f>
        <v>0</v>
      </c>
      <c r="G79" s="450">
        <f>IF('III. Data Inputs-BE'!$H$34=TRUE,0,IF('III. Data Inputs-BE'!$C$138="Yes",0,(F78-H78)*(1-INDEX('III. Data Inputs-BE'!$B$141:$D$154, MATCH('V. BE CH4,AS'!B78, 'III. Data Inputs-BE'!$B$141:$B$154,0), MATCH('V. BE CH4,AS'!$C$66,'III. Data Inputs-BE'!$B$141:$D$141,0)))))</f>
        <v>0</v>
      </c>
      <c r="H79" s="148">
        <f t="shared" si="8"/>
        <v>0</v>
      </c>
      <c r="I79" s="148">
        <f>IF('III. Data Inputs-BE'!D42=0,0,H79*'III. Data Inputs-BE'!$C$108*0.68*0.001)*('III. Data Inputs-BE'!G42/'III. Data Inputs-BE'!E42)</f>
        <v>0</v>
      </c>
      <c r="J79" s="148">
        <f t="shared" si="7"/>
        <v>0</v>
      </c>
    </row>
    <row r="80" spans="1:94" x14ac:dyDescent="0.25">
      <c r="B80" s="292" t="str">
        <f>'III. Data Inputs-BE'!$B$43</f>
        <v>November</v>
      </c>
      <c r="C80" s="140">
        <f>'III. Data Inputs-BE'!$E$43</f>
        <v>30</v>
      </c>
      <c r="D80" s="452">
        <f>MIN(0.95, MAX(0.104,EXP(15175*(('III. Data Inputs-BE'!$C$43+273)-303.16)/(1.987*('III. Data Inputs-BE'!$C$43+273)*303.16))))</f>
        <v>0.104</v>
      </c>
      <c r="E80" s="300">
        <f t="shared" si="6"/>
        <v>0</v>
      </c>
      <c r="F80" s="148">
        <f>(E80*'III. Data Inputs-BE'!D80*'III. Data Inputs-BE'!$D$175*C80*0.8)+G80</f>
        <v>0</v>
      </c>
      <c r="G80" s="450">
        <f>IF('III. Data Inputs-BE'!$H$34=TRUE,0,IF('III. Data Inputs-BE'!$C$138="Yes",0,(F79-H79)*(1-INDEX('III. Data Inputs-BE'!$B$141:$D$154, MATCH('V. BE CH4,AS'!B79, 'III. Data Inputs-BE'!$B$141:$B$154,0), MATCH('V. BE CH4,AS'!$C$66,'III. Data Inputs-BE'!$B$141:$D$141,0)))))</f>
        <v>0</v>
      </c>
      <c r="H80" s="148">
        <f t="shared" si="8"/>
        <v>0</v>
      </c>
      <c r="I80" s="148">
        <f>IF('III. Data Inputs-BE'!D43=0,0,H80*'III. Data Inputs-BE'!$C$108*0.68*0.001)*('III. Data Inputs-BE'!G43/'III. Data Inputs-BE'!E43)</f>
        <v>0</v>
      </c>
      <c r="J80" s="148">
        <f t="shared" si="7"/>
        <v>0</v>
      </c>
    </row>
    <row r="81" spans="1:94" x14ac:dyDescent="0.25">
      <c r="B81" s="528" t="str">
        <f>'III. Data Inputs-BE'!$B$44</f>
        <v>December</v>
      </c>
      <c r="C81" s="464">
        <f>'III. Data Inputs-BE'!$E$44</f>
        <v>31</v>
      </c>
      <c r="D81" s="452">
        <f>MIN(0.95, MAX(0.104,EXP(15175*(('III. Data Inputs-BE'!$C$44+273)-303.16)/(1.987*('III. Data Inputs-BE'!$C$44+273)*303.16))))</f>
        <v>0.104</v>
      </c>
      <c r="E81" s="466">
        <f>$C$67</f>
        <v>0</v>
      </c>
      <c r="F81" s="465">
        <f>(E81*'III. Data Inputs-BE'!D81*'III. Data Inputs-BE'!$D$175*C81*0.8)+G81</f>
        <v>0</v>
      </c>
      <c r="G81" s="467">
        <f>IF('III. Data Inputs-BE'!$H$34=TRUE,0,IF('III. Data Inputs-BE'!$C$138="Yes",0,(F80-H80)*(1-INDEX('III. Data Inputs-BE'!$B$141:$D$154, MATCH('V. BE CH4,AS'!B80, 'III. Data Inputs-BE'!$B$141:$B$154,0), MATCH('V. BE CH4,AS'!$C$66,'III. Data Inputs-BE'!$B$141:$D$141,0)))))</f>
        <v>0</v>
      </c>
      <c r="H81" s="148">
        <f t="shared" si="8"/>
        <v>0</v>
      </c>
      <c r="I81" s="148">
        <f>IF('III. Data Inputs-BE'!D44=0,0,H81*'III. Data Inputs-BE'!$C$108*0.68*0.001)*('III. Data Inputs-BE'!G44/'III. Data Inputs-BE'!E44)</f>
        <v>0</v>
      </c>
      <c r="J81" s="148">
        <f t="shared" si="7"/>
        <v>0</v>
      </c>
    </row>
    <row r="82" spans="1:94" ht="13" x14ac:dyDescent="0.3">
      <c r="B82" s="525" t="s">
        <v>396</v>
      </c>
      <c r="C82" s="468"/>
      <c r="D82" s="456"/>
      <c r="E82" s="456"/>
      <c r="F82" s="469"/>
      <c r="G82" s="470"/>
      <c r="H82" s="471">
        <f>SUM(H70:H81)</f>
        <v>0</v>
      </c>
      <c r="I82" s="462">
        <f>SUM(I70:I81)</f>
        <v>0</v>
      </c>
      <c r="J82" s="462">
        <f>SUM(J70:J81)</f>
        <v>0</v>
      </c>
    </row>
    <row r="83" spans="1:94" ht="13" x14ac:dyDescent="0.3">
      <c r="B83" s="517"/>
      <c r="C83" s="3"/>
      <c r="D83" s="57"/>
      <c r="E83" s="57"/>
      <c r="F83" s="58"/>
      <c r="G83" s="58"/>
      <c r="H83" s="58"/>
      <c r="I83" s="58"/>
      <c r="J83" s="58"/>
    </row>
    <row r="84" spans="1:94" ht="13" x14ac:dyDescent="0.3">
      <c r="B84" s="526" t="s">
        <v>393</v>
      </c>
      <c r="C84" s="428"/>
      <c r="D84" s="460"/>
      <c r="E84" s="460"/>
      <c r="F84" s="461"/>
      <c r="G84" s="472">
        <f>F81-H81</f>
        <v>0</v>
      </c>
      <c r="H84" s="58"/>
      <c r="I84" s="58"/>
      <c r="J84" s="58"/>
    </row>
    <row r="85" spans="1:94" ht="62.5" x14ac:dyDescent="0.3">
      <c r="G85" s="459" t="s">
        <v>394</v>
      </c>
      <c r="H85" s="58"/>
      <c r="I85" s="58"/>
      <c r="J85" s="58"/>
    </row>
    <row r="87" spans="1:94" ht="13" x14ac:dyDescent="0.3">
      <c r="B87" s="39"/>
      <c r="C87" s="4"/>
      <c r="D87" s="126"/>
      <c r="E87" s="126"/>
      <c r="F87" s="126"/>
      <c r="G87" s="126"/>
      <c r="H87" s="57"/>
      <c r="I87" s="57"/>
      <c r="J87" s="57"/>
    </row>
    <row r="88" spans="1:94" ht="13" x14ac:dyDescent="0.25">
      <c r="B88" s="517"/>
      <c r="C88" s="46"/>
      <c r="E88" s="549" t="s">
        <v>395</v>
      </c>
      <c r="F88" s="554"/>
      <c r="G88" s="554"/>
      <c r="H88" s="554"/>
      <c r="I88" s="554"/>
      <c r="J88" s="554"/>
    </row>
    <row r="89" spans="1:94" s="152" customFormat="1" ht="13" x14ac:dyDescent="0.3">
      <c r="A89" s="3"/>
      <c r="B89" s="517"/>
      <c r="C89" s="3"/>
      <c r="D89" s="57"/>
      <c r="E89" s="554"/>
      <c r="F89" s="554"/>
      <c r="G89" s="554"/>
      <c r="H89" s="554"/>
      <c r="I89" s="554"/>
      <c r="J89" s="554"/>
      <c r="K89" s="142"/>
      <c r="L89" s="142"/>
      <c r="M89" s="14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row>
    <row r="90" spans="1:94" x14ac:dyDescent="0.25">
      <c r="E90" s="554"/>
      <c r="F90" s="554"/>
      <c r="G90" s="554"/>
      <c r="H90" s="554"/>
      <c r="I90" s="554"/>
      <c r="J90" s="554"/>
    </row>
    <row r="91" spans="1:94" ht="13" x14ac:dyDescent="0.3">
      <c r="B91" s="395" t="str">
        <f>B66</f>
        <v>Population 2</v>
      </c>
      <c r="C91" s="453">
        <f>'III. Data Inputs-BE'!B122</f>
        <v>0</v>
      </c>
      <c r="D91" s="138"/>
      <c r="E91" s="57"/>
      <c r="F91" s="57"/>
      <c r="G91" s="57"/>
      <c r="H91" s="57"/>
      <c r="I91" s="57"/>
      <c r="J91" s="57"/>
      <c r="K91" s="4"/>
      <c r="L91" s="4"/>
      <c r="M91" s="4"/>
      <c r="O91" s="4"/>
      <c r="P91" s="36"/>
      <c r="Q91" s="36"/>
      <c r="R91" s="36"/>
    </row>
    <row r="92" spans="1:94" ht="15" x14ac:dyDescent="0.3">
      <c r="B92" s="524" t="s">
        <v>383</v>
      </c>
      <c r="C92" s="454">
        <f>C67</f>
        <v>0</v>
      </c>
      <c r="E92" s="58"/>
      <c r="F92" s="57"/>
      <c r="G92" s="57"/>
      <c r="H92" s="57"/>
      <c r="I92" s="57"/>
      <c r="J92" s="57"/>
      <c r="K92" s="4"/>
      <c r="L92" s="4"/>
      <c r="M92" s="4"/>
      <c r="O92" s="4"/>
      <c r="P92" s="36"/>
      <c r="Q92" s="36"/>
      <c r="R92" s="36"/>
    </row>
    <row r="93" spans="1:94" ht="13" x14ac:dyDescent="0.3">
      <c r="B93" s="524"/>
      <c r="C93" s="128"/>
      <c r="E93" s="58"/>
      <c r="F93" s="57"/>
      <c r="G93" s="57"/>
      <c r="H93" s="57"/>
      <c r="I93" s="57"/>
      <c r="J93" s="57"/>
      <c r="K93" s="4"/>
      <c r="L93" s="4"/>
      <c r="M93" s="4"/>
      <c r="O93" s="4"/>
      <c r="P93" s="36"/>
      <c r="Q93" s="36"/>
      <c r="R93" s="36"/>
    </row>
    <row r="94" spans="1:94" ht="29" x14ac:dyDescent="0.4">
      <c r="B94" s="369" t="s">
        <v>195</v>
      </c>
      <c r="C94" s="128" t="s">
        <v>384</v>
      </c>
      <c r="D94" s="447" t="s">
        <v>385</v>
      </c>
      <c r="E94" s="448" t="s">
        <v>386</v>
      </c>
      <c r="F94" s="435" t="s">
        <v>387</v>
      </c>
      <c r="G94" s="448" t="s">
        <v>388</v>
      </c>
      <c r="H94" s="435" t="s">
        <v>389</v>
      </c>
      <c r="I94" s="435" t="s">
        <v>390</v>
      </c>
      <c r="J94" s="435" t="s">
        <v>391</v>
      </c>
      <c r="K94" s="36"/>
      <c r="L94" s="36"/>
      <c r="M94" s="36"/>
    </row>
    <row r="95" spans="1:94" x14ac:dyDescent="0.25">
      <c r="B95" s="292" t="str">
        <f>'III. Data Inputs-BE'!$B$33</f>
        <v>January</v>
      </c>
      <c r="C95" s="140">
        <f>'III. Data Inputs-BE'!$E$33</f>
        <v>31</v>
      </c>
      <c r="D95" s="452">
        <f>MIN(0.95, MAX(0.104,EXP(15175*(('III. Data Inputs-BE'!$C$33+273)-303.16)/(1.987*('III. Data Inputs-BE'!$C$33+273)*303.16))))</f>
        <v>0.104</v>
      </c>
      <c r="E95" s="300">
        <f t="shared" ref="E95:E105" si="9">$C$67</f>
        <v>0</v>
      </c>
      <c r="F95" s="148">
        <f>(E95*'III. Data Inputs-BE'!D70*'III. Data Inputs-BE'!$D$176*C95*0.8)+G95</f>
        <v>0</v>
      </c>
      <c r="G95" s="449">
        <v>0</v>
      </c>
      <c r="H95" s="148">
        <f>F95*D95</f>
        <v>0</v>
      </c>
      <c r="I95" s="148">
        <f>IF('III. Data Inputs-BE'!D33=0,0,H95*'III. Data Inputs-BE'!$C$108*0.68*0.001)*('III. Data Inputs-BE'!G33/'III. Data Inputs-BE'!E33)</f>
        <v>0</v>
      </c>
      <c r="J95" s="148">
        <f t="shared" ref="J95:J106" si="10">I95*gwp_ch4</f>
        <v>0</v>
      </c>
    </row>
    <row r="96" spans="1:94" x14ac:dyDescent="0.25">
      <c r="B96" s="292" t="str">
        <f>'III. Data Inputs-BE'!$B$34</f>
        <v>February</v>
      </c>
      <c r="C96" s="140">
        <f>'III. Data Inputs-BE'!$E$34</f>
        <v>28</v>
      </c>
      <c r="D96" s="452">
        <f>MIN(0.95, MAX(0.104,EXP(15175*(('III. Data Inputs-BE'!$C$34+273)-303.16)/(1.987*('III. Data Inputs-BE'!$C$34+273)*303.16))))</f>
        <v>0.104</v>
      </c>
      <c r="E96" s="300">
        <f t="shared" si="9"/>
        <v>0</v>
      </c>
      <c r="F96" s="148">
        <f>(E96*'III. Data Inputs-BE'!D71*'III. Data Inputs-BE'!$D$176*C96*0.8)+G96</f>
        <v>0</v>
      </c>
      <c r="G96" s="450">
        <f>IF('III. Data Inputs-BE'!$H$34=TRUE,0,IF('III. Data Inputs-BE'!$C$138="Yes",0,(F95-H95)*(1-INDEX('III. Data Inputs-BE'!$B$141:$D$154, MATCH('V. BE CH4,AS'!B95, 'III. Data Inputs-BE'!$B$141:$B$154,0), MATCH('V. BE CH4,AS'!$C$91,'III. Data Inputs-BE'!$B$141:$D$141,0)))))</f>
        <v>0</v>
      </c>
      <c r="H96" s="148">
        <f t="shared" ref="H96:H106" si="11">F96*D96</f>
        <v>0</v>
      </c>
      <c r="I96" s="148">
        <f>IF('III. Data Inputs-BE'!D34=0,0,H96*'III. Data Inputs-BE'!$C$108*0.68*0.001)*('III. Data Inputs-BE'!G34/'III. Data Inputs-BE'!E34)</f>
        <v>0</v>
      </c>
      <c r="J96" s="148">
        <f t="shared" si="10"/>
        <v>0</v>
      </c>
    </row>
    <row r="97" spans="1:94" x14ac:dyDescent="0.25">
      <c r="B97" s="292" t="str">
        <f>'III. Data Inputs-BE'!$B$35</f>
        <v>March</v>
      </c>
      <c r="C97" s="140">
        <f>'III. Data Inputs-BE'!$E$35</f>
        <v>31</v>
      </c>
      <c r="D97" s="452">
        <f>MIN(0.95, MAX(0.104,EXP(15175*(('III. Data Inputs-BE'!$C$35+273)-303.16)/(1.987*('III. Data Inputs-BE'!$C$35+273)*303.16))))</f>
        <v>0.104</v>
      </c>
      <c r="E97" s="300">
        <f t="shared" si="9"/>
        <v>0</v>
      </c>
      <c r="F97" s="148">
        <f>(E97*'III. Data Inputs-BE'!D72*'III. Data Inputs-BE'!$D$176*C97*0.8)+G97</f>
        <v>0</v>
      </c>
      <c r="G97" s="450">
        <f>IF('III. Data Inputs-BE'!$H$34=TRUE,0,IF('III. Data Inputs-BE'!$C$138="Yes",0,(F96-H96)*(1-INDEX('III. Data Inputs-BE'!$B$141:$D$154, MATCH('V. BE CH4,AS'!B96, 'III. Data Inputs-BE'!$B$141:$B$154,0), MATCH('V. BE CH4,AS'!$C$91,'III. Data Inputs-BE'!$B$141:$D$141,0)))))</f>
        <v>0</v>
      </c>
      <c r="H97" s="148">
        <f t="shared" si="11"/>
        <v>0</v>
      </c>
      <c r="I97" s="148">
        <f>IF('III. Data Inputs-BE'!D35=0,0,H97*'III. Data Inputs-BE'!$C$108*0.68*0.001)*('III. Data Inputs-BE'!G35/'III. Data Inputs-BE'!E35)</f>
        <v>0</v>
      </c>
      <c r="J97" s="148">
        <f t="shared" si="10"/>
        <v>0</v>
      </c>
    </row>
    <row r="98" spans="1:94" x14ac:dyDescent="0.25">
      <c r="B98" s="292" t="str">
        <f>'III. Data Inputs-BE'!$B$36</f>
        <v>April</v>
      </c>
      <c r="C98" s="140">
        <f>'III. Data Inputs-BE'!$E$36</f>
        <v>30</v>
      </c>
      <c r="D98" s="452">
        <f>MIN(0.95, MAX(0.104,EXP(15175*(('III. Data Inputs-BE'!$C$36+273)-303.16)/(1.987*('III. Data Inputs-BE'!$C$36+273)*303.16))))</f>
        <v>0.104</v>
      </c>
      <c r="E98" s="300">
        <f t="shared" si="9"/>
        <v>0</v>
      </c>
      <c r="F98" s="148">
        <f>(E98*'III. Data Inputs-BE'!D73*'III. Data Inputs-BE'!$D$176*C98*0.8)+G98</f>
        <v>0</v>
      </c>
      <c r="G98" s="450">
        <f>IF('III. Data Inputs-BE'!$H$34=TRUE,0,IF('III. Data Inputs-BE'!$C$138="Yes",0,(F97-H97)*(1-INDEX('III. Data Inputs-BE'!$B$141:$D$154, MATCH('V. BE CH4,AS'!B97, 'III. Data Inputs-BE'!$B$141:$B$154,0), MATCH('V. BE CH4,AS'!$C$91,'III. Data Inputs-BE'!$B$141:$D$141,0)))))</f>
        <v>0</v>
      </c>
      <c r="H98" s="148">
        <f t="shared" si="11"/>
        <v>0</v>
      </c>
      <c r="I98" s="148">
        <f>IF('III. Data Inputs-BE'!D36=0,0,H98*'III. Data Inputs-BE'!$C$108*0.68*0.001)*('III. Data Inputs-BE'!G36/'III. Data Inputs-BE'!E36)</f>
        <v>0</v>
      </c>
      <c r="J98" s="148">
        <f t="shared" si="10"/>
        <v>0</v>
      </c>
    </row>
    <row r="99" spans="1:94" x14ac:dyDescent="0.25">
      <c r="B99" s="292" t="str">
        <f>'III. Data Inputs-BE'!$B$37</f>
        <v>May</v>
      </c>
      <c r="C99" s="140">
        <f>'III. Data Inputs-BE'!$E$37</f>
        <v>31</v>
      </c>
      <c r="D99" s="452">
        <f>MIN(0.95, MAX(0.104,EXP(15175*(('III. Data Inputs-BE'!$C$37+273)-303.16)/(1.987*('III. Data Inputs-BE'!$C$37+273)*303.16))))</f>
        <v>0.104</v>
      </c>
      <c r="E99" s="300">
        <f t="shared" si="9"/>
        <v>0</v>
      </c>
      <c r="F99" s="148">
        <f>(E99*'III. Data Inputs-BE'!D74*'III. Data Inputs-BE'!$D$176*C99*0.8)+G99</f>
        <v>0</v>
      </c>
      <c r="G99" s="450">
        <f>IF('III. Data Inputs-BE'!$H$34=TRUE,0,IF('III. Data Inputs-BE'!$C$138="Yes",0,(F98-H98)*(1-INDEX('III. Data Inputs-BE'!$B$141:$D$154, MATCH('V. BE CH4,AS'!B98, 'III. Data Inputs-BE'!$B$141:$B$154,0), MATCH('V. BE CH4,AS'!$C$91,'III. Data Inputs-BE'!$B$141:$D$141,0)))))</f>
        <v>0</v>
      </c>
      <c r="H99" s="148">
        <f t="shared" si="11"/>
        <v>0</v>
      </c>
      <c r="I99" s="148">
        <f>IF('III. Data Inputs-BE'!D37=0,0,H99*'III. Data Inputs-BE'!$C$108*0.68*0.001)*('III. Data Inputs-BE'!G37/'III. Data Inputs-BE'!E37)</f>
        <v>0</v>
      </c>
      <c r="J99" s="148">
        <f t="shared" si="10"/>
        <v>0</v>
      </c>
    </row>
    <row r="100" spans="1:94" x14ac:dyDescent="0.25">
      <c r="B100" s="292" t="str">
        <f>'III. Data Inputs-BE'!$B$38</f>
        <v>June</v>
      </c>
      <c r="C100" s="140">
        <f>'III. Data Inputs-BE'!$E$38</f>
        <v>30</v>
      </c>
      <c r="D100" s="452">
        <f>MIN(0.95, MAX(0.104,EXP(15175*(('III. Data Inputs-BE'!$C$38+273)-303.16)/(1.987*('III. Data Inputs-BE'!$C$38+273)*303.16))))</f>
        <v>0.104</v>
      </c>
      <c r="E100" s="300">
        <f t="shared" si="9"/>
        <v>0</v>
      </c>
      <c r="F100" s="148">
        <f>(E100*'III. Data Inputs-BE'!D75*'III. Data Inputs-BE'!$D$176*C100*0.8)+G100</f>
        <v>0</v>
      </c>
      <c r="G100" s="450">
        <f>IF('III. Data Inputs-BE'!$H$34=TRUE,0,IF('III. Data Inputs-BE'!$C$138="Yes",0,(F99-H99)*(1-INDEX('III. Data Inputs-BE'!$B$141:$D$154, MATCH('V. BE CH4,AS'!B99, 'III. Data Inputs-BE'!$B$141:$B$154,0), MATCH('V. BE CH4,AS'!$C$91,'III. Data Inputs-BE'!$B$141:$D$141,0)))))</f>
        <v>0</v>
      </c>
      <c r="H100" s="148">
        <f t="shared" si="11"/>
        <v>0</v>
      </c>
      <c r="I100" s="148">
        <f>IF('III. Data Inputs-BE'!D38=0,0,H100*'III. Data Inputs-BE'!$C$108*0.68*0.001)*('III. Data Inputs-BE'!G38/'III. Data Inputs-BE'!E38)</f>
        <v>0</v>
      </c>
      <c r="J100" s="148">
        <f t="shared" si="10"/>
        <v>0</v>
      </c>
    </row>
    <row r="101" spans="1:94" x14ac:dyDescent="0.25">
      <c r="B101" s="292" t="str">
        <f>'III. Data Inputs-BE'!$B$39</f>
        <v>July</v>
      </c>
      <c r="C101" s="140">
        <f>'III. Data Inputs-BE'!$E$39</f>
        <v>31</v>
      </c>
      <c r="D101" s="452">
        <f>MIN(0.95, MAX(0.104,EXP(15175*(('III. Data Inputs-BE'!$C$39+273)-303.16)/(1.987*('III. Data Inputs-BE'!$C$39+273)*303.16))))</f>
        <v>0.104</v>
      </c>
      <c r="E101" s="300">
        <f t="shared" si="9"/>
        <v>0</v>
      </c>
      <c r="F101" s="148">
        <f>(E101*'III. Data Inputs-BE'!D76*'III. Data Inputs-BE'!$D$176*C101*0.8)+G101</f>
        <v>0</v>
      </c>
      <c r="G101" s="450">
        <f>IF('III. Data Inputs-BE'!$H$34=TRUE,0,IF('III. Data Inputs-BE'!$C$138="Yes",0,(F100-H100)*(1-INDEX('III. Data Inputs-BE'!$B$141:$D$154, MATCH('V. BE CH4,AS'!B100, 'III. Data Inputs-BE'!$B$141:$B$154,0), MATCH('V. BE CH4,AS'!$C$91,'III. Data Inputs-BE'!$B$141:$D$141,0)))))</f>
        <v>0</v>
      </c>
      <c r="H101" s="148">
        <f t="shared" si="11"/>
        <v>0</v>
      </c>
      <c r="I101" s="148">
        <f>IF('III. Data Inputs-BE'!D39=0,0,H101*'III. Data Inputs-BE'!$C$108*0.68*0.001)*('III. Data Inputs-BE'!G39/'III. Data Inputs-BE'!E39)</f>
        <v>0</v>
      </c>
      <c r="J101" s="148">
        <f t="shared" si="10"/>
        <v>0</v>
      </c>
    </row>
    <row r="102" spans="1:94" x14ac:dyDescent="0.25">
      <c r="B102" s="292" t="str">
        <f>'III. Data Inputs-BE'!$B$40</f>
        <v>August</v>
      </c>
      <c r="C102" s="140">
        <f>'III. Data Inputs-BE'!$E$40</f>
        <v>31</v>
      </c>
      <c r="D102" s="452">
        <f>MIN(0.95, MAX(0.104,EXP(15175*(('III. Data Inputs-BE'!$C$40+273)-303.16)/(1.987*('III. Data Inputs-BE'!$C$40+273)*303.16))))</f>
        <v>0.104</v>
      </c>
      <c r="E102" s="300">
        <f t="shared" si="9"/>
        <v>0</v>
      </c>
      <c r="F102" s="148">
        <f>(E102*'III. Data Inputs-BE'!D77*'III. Data Inputs-BE'!$D$176*C102*0.8)+G102</f>
        <v>0</v>
      </c>
      <c r="G102" s="450">
        <f>IF('III. Data Inputs-BE'!$H$34=TRUE,0,IF('III. Data Inputs-BE'!$C$138="Yes",0,(F101-H101)*(1-INDEX('III. Data Inputs-BE'!$B$141:$D$154, MATCH('V. BE CH4,AS'!B101, 'III. Data Inputs-BE'!$B$141:$B$154,0), MATCH('V. BE CH4,AS'!$C$91,'III. Data Inputs-BE'!$B$141:$D$141,0)))))</f>
        <v>0</v>
      </c>
      <c r="H102" s="148">
        <f t="shared" si="11"/>
        <v>0</v>
      </c>
      <c r="I102" s="148">
        <f>IF('III. Data Inputs-BE'!D40=0,0,H102*'III. Data Inputs-BE'!$C$108*0.68*0.001)*('III. Data Inputs-BE'!G40/'III. Data Inputs-BE'!E40)</f>
        <v>0</v>
      </c>
      <c r="J102" s="148">
        <f t="shared" si="10"/>
        <v>0</v>
      </c>
    </row>
    <row r="103" spans="1:94" s="3" customFormat="1" ht="13" x14ac:dyDescent="0.3">
      <c r="B103" s="292" t="str">
        <f>'III. Data Inputs-BE'!$B$41</f>
        <v>September</v>
      </c>
      <c r="C103" s="140">
        <f>'III. Data Inputs-BE'!$E$41</f>
        <v>30</v>
      </c>
      <c r="D103" s="452">
        <f>MIN(0.95, MAX(0.104,EXP(15175*(('III. Data Inputs-BE'!$C$41+273)-303.16)/(1.987*('III. Data Inputs-BE'!$C$41+273)*303.16))))</f>
        <v>0.104</v>
      </c>
      <c r="E103" s="300">
        <f t="shared" si="9"/>
        <v>0</v>
      </c>
      <c r="F103" s="148">
        <f>(E103*'III. Data Inputs-BE'!D78*'III. Data Inputs-BE'!$D$176*C103*0.8)+G103</f>
        <v>0</v>
      </c>
      <c r="G103" s="450">
        <f>IF('III. Data Inputs-BE'!$H$34=TRUE,0,IF('III. Data Inputs-BE'!$C$138="Yes",0,(F102-H102)*(1-INDEX('III. Data Inputs-BE'!$B$141:$D$154, MATCH('V. BE CH4,AS'!B102, 'III. Data Inputs-BE'!$B$141:$B$154,0), MATCH('V. BE CH4,AS'!$C$91,'III. Data Inputs-BE'!$B$141:$D$141,0)))))</f>
        <v>0</v>
      </c>
      <c r="H103" s="148">
        <f t="shared" si="11"/>
        <v>0</v>
      </c>
      <c r="I103" s="148">
        <f>IF('III. Data Inputs-BE'!D41=0,0,H103*'III. Data Inputs-BE'!$C$108*0.68*0.001)*('III. Data Inputs-BE'!G41/'III. Data Inputs-BE'!E41)</f>
        <v>0</v>
      </c>
      <c r="J103" s="148">
        <f t="shared" si="10"/>
        <v>0</v>
      </c>
      <c r="K103" s="142"/>
      <c r="L103" s="142"/>
      <c r="M103" s="143"/>
      <c r="N103" s="143"/>
      <c r="O103" s="4"/>
      <c r="Q103" s="142"/>
    </row>
    <row r="104" spans="1:94" x14ac:dyDescent="0.25">
      <c r="B104" s="292" t="str">
        <f>'III. Data Inputs-BE'!$B$42</f>
        <v>October</v>
      </c>
      <c r="C104" s="140">
        <f>'III. Data Inputs-BE'!$E$42</f>
        <v>31</v>
      </c>
      <c r="D104" s="452">
        <f>MIN(0.95, MAX(0.104,EXP(15175*(('III. Data Inputs-BE'!$C$42+273)-303.16)/(1.987*('III. Data Inputs-BE'!$C$42+273)*303.16))))</f>
        <v>0.104</v>
      </c>
      <c r="E104" s="300">
        <f t="shared" si="9"/>
        <v>0</v>
      </c>
      <c r="F104" s="148">
        <f>(E104*'III. Data Inputs-BE'!D79*'III. Data Inputs-BE'!$D$176*C104*0.8)+G104</f>
        <v>0</v>
      </c>
      <c r="G104" s="450">
        <f>IF('III. Data Inputs-BE'!$H$34=TRUE,0,IF('III. Data Inputs-BE'!$C$138="Yes",0,(F103-H103)*(1-INDEX('III. Data Inputs-BE'!$B$141:$D$154, MATCH('V. BE CH4,AS'!B103, 'III. Data Inputs-BE'!$B$141:$B$154,0), MATCH('V. BE CH4,AS'!$C$91,'III. Data Inputs-BE'!$B$141:$D$141,0)))))</f>
        <v>0</v>
      </c>
      <c r="H104" s="148">
        <f t="shared" si="11"/>
        <v>0</v>
      </c>
      <c r="I104" s="148">
        <f>IF('III. Data Inputs-BE'!D42=0,0,H104*'III. Data Inputs-BE'!$C$108*0.68*0.001)*('III. Data Inputs-BE'!G42/'III. Data Inputs-BE'!E42)</f>
        <v>0</v>
      </c>
      <c r="J104" s="148">
        <f t="shared" si="10"/>
        <v>0</v>
      </c>
      <c r="K104" s="96"/>
      <c r="L104" s="96"/>
      <c r="M104" s="96"/>
      <c r="N104" s="144"/>
      <c r="O104" s="96"/>
      <c r="P104" s="144"/>
      <c r="Q104" s="144"/>
    </row>
    <row r="105" spans="1:94" s="3" customFormat="1" ht="13" x14ac:dyDescent="0.3">
      <c r="B105" s="292" t="str">
        <f>'III. Data Inputs-BE'!$B$43</f>
        <v>November</v>
      </c>
      <c r="C105" s="140">
        <f>'III. Data Inputs-BE'!$E$43</f>
        <v>30</v>
      </c>
      <c r="D105" s="452">
        <f>MIN(0.95, MAX(0.104,EXP(15175*(('III. Data Inputs-BE'!$C$43+273)-303.16)/(1.987*('III. Data Inputs-BE'!$C$43+273)*303.16))))</f>
        <v>0.104</v>
      </c>
      <c r="E105" s="300">
        <f t="shared" si="9"/>
        <v>0</v>
      </c>
      <c r="F105" s="148">
        <f>(E105*'III. Data Inputs-BE'!D80*'III. Data Inputs-BE'!$D$176*C105*0.8)+G105</f>
        <v>0</v>
      </c>
      <c r="G105" s="450">
        <f>IF('III. Data Inputs-BE'!$H$34=TRUE,0,IF('III. Data Inputs-BE'!$C$138="Yes",0,(F104-H104)*(1-INDEX('III. Data Inputs-BE'!$B$141:$D$154, MATCH('V. BE CH4,AS'!B104, 'III. Data Inputs-BE'!$B$141:$B$154,0), MATCH('V. BE CH4,AS'!$C$91,'III. Data Inputs-BE'!$B$141:$D$141,0)))))</f>
        <v>0</v>
      </c>
      <c r="H105" s="148">
        <f t="shared" si="11"/>
        <v>0</v>
      </c>
      <c r="I105" s="148">
        <f>IF('III. Data Inputs-BE'!D43=0,0,H105*'III. Data Inputs-BE'!$C$108*0.68*0.001)*('III. Data Inputs-BE'!G43/'III. Data Inputs-BE'!E43)</f>
        <v>0</v>
      </c>
      <c r="J105" s="148">
        <f t="shared" si="10"/>
        <v>0</v>
      </c>
      <c r="K105" s="4"/>
      <c r="L105" s="4"/>
      <c r="M105" s="4"/>
      <c r="O105" s="4"/>
    </row>
    <row r="106" spans="1:94" ht="13" x14ac:dyDescent="0.3">
      <c r="B106" s="528" t="str">
        <f>'III. Data Inputs-BE'!$B$44</f>
        <v>December</v>
      </c>
      <c r="C106" s="464">
        <f>'III. Data Inputs-BE'!$E$44</f>
        <v>31</v>
      </c>
      <c r="D106" s="452">
        <f>MIN(0.95, MAX(0.104,EXP(15175*(('III. Data Inputs-BE'!$C$44+273)-303.16)/(1.987*('III. Data Inputs-BE'!$C$44+273)*303.16))))</f>
        <v>0.104</v>
      </c>
      <c r="E106" s="466">
        <f>$C$67</f>
        <v>0</v>
      </c>
      <c r="F106" s="465">
        <f>(E106*'III. Data Inputs-BE'!D81*'III. Data Inputs-BE'!$D$176*C106*0.8)+G106</f>
        <v>0</v>
      </c>
      <c r="G106" s="467">
        <f>IF('III. Data Inputs-BE'!$H$34=TRUE,0,IF('III. Data Inputs-BE'!$C$138="Yes",0,(F105-H105)*(1-INDEX('III. Data Inputs-BE'!$B$141:$D$154, MATCH('V. BE CH4,AS'!B105, 'III. Data Inputs-BE'!$B$141:$B$154,0), MATCH('V. BE CH4,AS'!$C$91,'III. Data Inputs-BE'!$B$141:$D$141,0)))))</f>
        <v>0</v>
      </c>
      <c r="H106" s="148">
        <f t="shared" si="11"/>
        <v>0</v>
      </c>
      <c r="I106" s="148">
        <f>IF('III. Data Inputs-BE'!D44=0,0,H106*'III. Data Inputs-BE'!$C$108*0.68*0.001)*('III. Data Inputs-BE'!G44/'III. Data Inputs-BE'!E44)</f>
        <v>0</v>
      </c>
      <c r="J106" s="148">
        <f t="shared" si="10"/>
        <v>0</v>
      </c>
      <c r="K106" s="4"/>
      <c r="L106" s="4"/>
      <c r="M106" s="4"/>
      <c r="O106" s="46"/>
    </row>
    <row r="107" spans="1:94" ht="13" x14ac:dyDescent="0.3">
      <c r="B107" s="525" t="s">
        <v>396</v>
      </c>
      <c r="C107" s="468"/>
      <c r="D107" s="456"/>
      <c r="E107" s="456"/>
      <c r="F107" s="469"/>
      <c r="G107" s="470"/>
      <c r="H107" s="471">
        <f>SUM(H95:H106)</f>
        <v>0</v>
      </c>
      <c r="I107" s="462">
        <f>SUM(I95:I106)</f>
        <v>0</v>
      </c>
      <c r="J107" s="462">
        <f>SUM(J95:J106)</f>
        <v>0</v>
      </c>
      <c r="K107" s="4"/>
      <c r="L107" s="4"/>
      <c r="M107" s="4"/>
      <c r="O107" s="46"/>
    </row>
    <row r="108" spans="1:94" ht="13" x14ac:dyDescent="0.3">
      <c r="B108" s="517"/>
      <c r="C108" s="3"/>
      <c r="D108" s="57"/>
      <c r="E108" s="57"/>
      <c r="F108" s="58"/>
      <c r="G108" s="58"/>
      <c r="H108" s="58"/>
      <c r="I108" s="58"/>
      <c r="J108" s="58"/>
      <c r="K108" s="4"/>
      <c r="L108" s="4"/>
      <c r="M108" s="4"/>
      <c r="O108" s="46"/>
    </row>
    <row r="109" spans="1:94" s="60" customFormat="1" ht="13" x14ac:dyDescent="0.3">
      <c r="A109" s="13"/>
      <c r="B109" s="526" t="s">
        <v>393</v>
      </c>
      <c r="C109" s="428"/>
      <c r="D109" s="460"/>
      <c r="E109" s="460"/>
      <c r="F109" s="461"/>
      <c r="G109" s="472">
        <f>F106-H106</f>
        <v>0</v>
      </c>
      <c r="H109" s="58"/>
      <c r="I109" s="58"/>
      <c r="J109" s="58"/>
      <c r="K109" s="4"/>
      <c r="L109" s="4"/>
      <c r="M109" s="4"/>
      <c r="N109" s="13"/>
      <c r="O109" s="46"/>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3"/>
      <c r="AZ109" s="13"/>
      <c r="BA109" s="13"/>
      <c r="BB109" s="13"/>
      <c r="BC109" s="13"/>
      <c r="BD109" s="13"/>
      <c r="BE109" s="13"/>
      <c r="BF109" s="13"/>
      <c r="BG109" s="13"/>
      <c r="BH109" s="13"/>
      <c r="BI109" s="13"/>
      <c r="BJ109" s="13"/>
      <c r="BK109" s="13"/>
      <c r="BL109" s="13"/>
      <c r="BM109" s="13"/>
      <c r="BN109" s="13"/>
      <c r="BO109" s="13"/>
      <c r="BP109" s="13"/>
      <c r="BQ109" s="13"/>
      <c r="BR109" s="13"/>
      <c r="BS109" s="13"/>
      <c r="BT109" s="13"/>
      <c r="BU109" s="13"/>
      <c r="BV109" s="13"/>
      <c r="BW109" s="13"/>
      <c r="BX109" s="13"/>
      <c r="BY109" s="13"/>
      <c r="BZ109" s="13"/>
      <c r="CA109" s="13"/>
      <c r="CB109" s="13"/>
      <c r="CC109" s="13"/>
      <c r="CD109" s="13"/>
      <c r="CE109" s="13"/>
      <c r="CF109" s="13"/>
      <c r="CG109" s="13"/>
      <c r="CH109" s="13"/>
      <c r="CI109" s="13"/>
      <c r="CJ109" s="13"/>
      <c r="CK109" s="13"/>
      <c r="CL109" s="13"/>
      <c r="CM109" s="13"/>
      <c r="CN109" s="13"/>
      <c r="CO109" s="13"/>
      <c r="CP109" s="13"/>
    </row>
    <row r="110" spans="1:94" ht="62.5" x14ac:dyDescent="0.3">
      <c r="G110" s="459" t="s">
        <v>394</v>
      </c>
      <c r="H110" s="58"/>
      <c r="I110" s="58"/>
      <c r="J110" s="58"/>
      <c r="K110" s="4"/>
      <c r="L110" s="4"/>
      <c r="M110" s="4"/>
      <c r="O110" s="46"/>
    </row>
    <row r="111" spans="1:94" x14ac:dyDescent="0.25">
      <c r="K111" s="36"/>
      <c r="L111" s="36"/>
      <c r="M111" s="36"/>
    </row>
    <row r="112" spans="1:94" ht="13" x14ac:dyDescent="0.25">
      <c r="B112" s="517"/>
      <c r="C112" s="46"/>
      <c r="K112" s="96"/>
      <c r="L112" s="96"/>
      <c r="O112" s="46"/>
      <c r="P112" s="27"/>
    </row>
    <row r="113" spans="1:94" s="60" customFormat="1" ht="13" x14ac:dyDescent="0.3">
      <c r="A113" s="13"/>
      <c r="B113" s="517"/>
      <c r="C113" s="46"/>
      <c r="D113" s="41"/>
      <c r="E113" s="549" t="s">
        <v>395</v>
      </c>
      <c r="F113" s="554"/>
      <c r="G113" s="554"/>
      <c r="H113" s="554"/>
      <c r="I113" s="554"/>
      <c r="J113" s="554"/>
      <c r="K113" s="13"/>
      <c r="L113" s="13"/>
      <c r="M113" s="13"/>
      <c r="N113" s="3"/>
      <c r="O113" s="46"/>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c r="AW113" s="13"/>
      <c r="AX113" s="13"/>
      <c r="AY113" s="13"/>
      <c r="AZ113" s="13"/>
      <c r="BA113" s="13"/>
      <c r="BB113" s="13"/>
      <c r="BC113" s="13"/>
      <c r="BD113" s="13"/>
      <c r="BE113" s="13"/>
      <c r="BF113" s="13"/>
      <c r="BG113" s="13"/>
      <c r="BH113" s="13"/>
      <c r="BI113" s="13"/>
      <c r="BJ113" s="13"/>
      <c r="BK113" s="13"/>
      <c r="BL113" s="13"/>
      <c r="BM113" s="13"/>
      <c r="BN113" s="13"/>
      <c r="BO113" s="13"/>
      <c r="BP113" s="13"/>
      <c r="BQ113" s="13"/>
      <c r="BR113" s="13"/>
      <c r="BS113" s="13"/>
      <c r="BT113" s="13"/>
      <c r="BU113" s="13"/>
      <c r="BV113" s="13"/>
      <c r="BW113" s="13"/>
      <c r="BX113" s="13"/>
      <c r="BY113" s="13"/>
      <c r="BZ113" s="13"/>
      <c r="CA113" s="13"/>
      <c r="CB113" s="13"/>
      <c r="CC113" s="13"/>
      <c r="CD113" s="13"/>
      <c r="CE113" s="13"/>
      <c r="CF113" s="13"/>
      <c r="CG113" s="13"/>
      <c r="CH113" s="13"/>
      <c r="CI113" s="13"/>
      <c r="CJ113" s="13"/>
      <c r="CK113" s="13"/>
      <c r="CL113" s="13"/>
      <c r="CM113" s="13"/>
      <c r="CN113" s="13"/>
      <c r="CO113" s="13"/>
      <c r="CP113" s="13"/>
    </row>
    <row r="114" spans="1:94" s="60" customFormat="1" ht="13" x14ac:dyDescent="0.25">
      <c r="A114" s="13"/>
      <c r="B114" s="517"/>
      <c r="C114" s="46"/>
      <c r="D114" s="41"/>
      <c r="E114" s="554"/>
      <c r="F114" s="554"/>
      <c r="G114" s="554"/>
      <c r="H114" s="554"/>
      <c r="I114" s="554"/>
      <c r="J114" s="554"/>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c r="AR114" s="13"/>
      <c r="AS114" s="13"/>
      <c r="AT114" s="13"/>
      <c r="AU114" s="13"/>
      <c r="AV114" s="13"/>
      <c r="AW114" s="13"/>
      <c r="AX114" s="13"/>
      <c r="AY114" s="13"/>
      <c r="AZ114" s="13"/>
      <c r="BA114" s="13"/>
      <c r="BB114" s="13"/>
      <c r="BC114" s="13"/>
      <c r="BD114" s="13"/>
      <c r="BE114" s="13"/>
      <c r="BF114" s="13"/>
      <c r="BG114" s="13"/>
      <c r="BH114" s="13"/>
      <c r="BI114" s="13"/>
      <c r="BJ114" s="13"/>
      <c r="BK114" s="13"/>
      <c r="BL114" s="13"/>
      <c r="BM114" s="13"/>
      <c r="BN114" s="13"/>
      <c r="BO114" s="13"/>
      <c r="BP114" s="13"/>
      <c r="BQ114" s="13"/>
      <c r="BR114" s="13"/>
      <c r="BS114" s="13"/>
      <c r="BT114" s="13"/>
      <c r="BU114" s="13"/>
      <c r="BV114" s="13"/>
      <c r="BW114" s="13"/>
      <c r="BX114" s="13"/>
      <c r="BY114" s="13"/>
      <c r="BZ114" s="13"/>
      <c r="CA114" s="13"/>
      <c r="CB114" s="13"/>
      <c r="CC114" s="13"/>
      <c r="CD114" s="13"/>
      <c r="CE114" s="13"/>
      <c r="CF114" s="13"/>
      <c r="CG114" s="13"/>
      <c r="CH114" s="13"/>
      <c r="CI114" s="13"/>
      <c r="CJ114" s="13"/>
      <c r="CK114" s="13"/>
      <c r="CL114" s="13"/>
      <c r="CM114" s="13"/>
      <c r="CN114" s="13"/>
      <c r="CO114" s="13"/>
      <c r="CP114" s="13"/>
    </row>
    <row r="115" spans="1:94" ht="39" x14ac:dyDescent="0.3">
      <c r="B115" s="395" t="str">
        <f>'III. Data Inputs-BE'!B53</f>
        <v>Population 3</v>
      </c>
      <c r="C115" s="453" t="str">
        <f>'III. Data Inputs-BE'!B121</f>
        <v>Liquid/Slurry w/natural crust cover</v>
      </c>
      <c r="D115" s="138"/>
      <c r="E115" s="554"/>
      <c r="F115" s="554"/>
      <c r="G115" s="554"/>
      <c r="H115" s="554"/>
      <c r="I115" s="554"/>
      <c r="J115" s="554"/>
    </row>
    <row r="116" spans="1:94" ht="15" x14ac:dyDescent="0.3">
      <c r="B116" s="524" t="s">
        <v>383</v>
      </c>
      <c r="C116" s="454">
        <f>'III. Data Inputs-BE'!D95</f>
        <v>0</v>
      </c>
      <c r="E116" s="58"/>
      <c r="F116" s="57"/>
      <c r="G116" s="57"/>
      <c r="H116" s="57"/>
      <c r="I116" s="57"/>
      <c r="J116" s="57"/>
    </row>
    <row r="117" spans="1:94" ht="13" x14ac:dyDescent="0.3">
      <c r="B117" s="524"/>
      <c r="C117" s="128"/>
      <c r="E117" s="58"/>
      <c r="F117" s="57"/>
      <c r="G117" s="57"/>
      <c r="H117" s="57"/>
      <c r="I117" s="57"/>
      <c r="J117" s="57"/>
    </row>
    <row r="118" spans="1:94" ht="29" x14ac:dyDescent="0.4">
      <c r="B118" s="369" t="s">
        <v>195</v>
      </c>
      <c r="C118" s="128" t="s">
        <v>384</v>
      </c>
      <c r="D118" s="447" t="s">
        <v>385</v>
      </c>
      <c r="E118" s="448" t="s">
        <v>386</v>
      </c>
      <c r="F118" s="435" t="s">
        <v>387</v>
      </c>
      <c r="G118" s="448" t="s">
        <v>388</v>
      </c>
      <c r="H118" s="435" t="s">
        <v>389</v>
      </c>
      <c r="I118" s="435" t="s">
        <v>390</v>
      </c>
      <c r="J118" s="435" t="s">
        <v>391</v>
      </c>
    </row>
    <row r="119" spans="1:94" x14ac:dyDescent="0.25">
      <c r="B119" s="292" t="str">
        <f>'III. Data Inputs-BE'!$B$33</f>
        <v>January</v>
      </c>
      <c r="C119" s="140">
        <f>'III. Data Inputs-BE'!$E$33</f>
        <v>31</v>
      </c>
      <c r="D119" s="452">
        <f>MIN(0.95, MAX(0.104,EXP(15175*(('III. Data Inputs-BE'!$C$33+273)-303.16)/(1.987*('III. Data Inputs-BE'!$C$33+273)*303.16))))</f>
        <v>0.104</v>
      </c>
      <c r="E119" s="300">
        <f t="shared" ref="E119:E130" si="12">$C$116</f>
        <v>0</v>
      </c>
      <c r="F119" s="148">
        <f>(E119*'III. Data Inputs-BE'!E70*'III. Data Inputs-BE'!$E$175*C119*0.8)+G119</f>
        <v>0</v>
      </c>
      <c r="G119" s="449"/>
      <c r="H119" s="148">
        <f>F119*D119</f>
        <v>0</v>
      </c>
      <c r="I119" s="148">
        <f>IF('III. Data Inputs-BE'!D33=0,0,H119*'III. Data Inputs-BE'!$C$109*0.68*0.001)*('III. Data Inputs-BE'!G33/'III. Data Inputs-BE'!E33)</f>
        <v>0</v>
      </c>
      <c r="J119" s="148">
        <f t="shared" ref="J119:J130" si="13">I119*gwp_ch4</f>
        <v>0</v>
      </c>
    </row>
    <row r="120" spans="1:94" s="3" customFormat="1" ht="13" x14ac:dyDescent="0.3">
      <c r="B120" s="292" t="str">
        <f>'III. Data Inputs-BE'!$B$34</f>
        <v>February</v>
      </c>
      <c r="C120" s="140">
        <f>'III. Data Inputs-BE'!$E$34</f>
        <v>28</v>
      </c>
      <c r="D120" s="452">
        <f>MIN(0.95, MAX(0.104,EXP(15175*(('III. Data Inputs-BE'!$C$34+273)-303.16)/(1.987*('III. Data Inputs-BE'!$C$34+273)*303.16))))</f>
        <v>0.104</v>
      </c>
      <c r="E120" s="300">
        <f t="shared" si="12"/>
        <v>0</v>
      </c>
      <c r="F120" s="148">
        <f>(E120*'III. Data Inputs-BE'!E71*'III. Data Inputs-BE'!$E$175*C120*0.8)+G120</f>
        <v>0</v>
      </c>
      <c r="G120" s="450">
        <f>IF('III. Data Inputs-BE'!$H$34=TRUE,0,IF('III. Data Inputs-BE'!$C$138="Yes",0,(F119-H119)*(1-INDEX('III. Data Inputs-BE'!$B$141:$D$154, MATCH('V. BE CH4,AS'!B119, 'III. Data Inputs-BE'!$B$141:$B$154,0), MATCH('V. BE CH4,AS'!$C$115,'III. Data Inputs-BE'!$B$141:$D$141,0)))))</f>
        <v>0</v>
      </c>
      <c r="H120" s="148">
        <f t="shared" ref="H120:H130" si="14">F120*D120</f>
        <v>0</v>
      </c>
      <c r="I120" s="148">
        <f>IF('III. Data Inputs-BE'!D34=0,0,H120*'III. Data Inputs-BE'!$C$109*0.68*0.001)*('III. Data Inputs-BE'!G34/'III. Data Inputs-BE'!E34)</f>
        <v>0</v>
      </c>
      <c r="J120" s="148">
        <f t="shared" si="13"/>
        <v>0</v>
      </c>
      <c r="K120" s="142"/>
      <c r="L120" s="142"/>
      <c r="M120" s="143"/>
    </row>
    <row r="121" spans="1:94" x14ac:dyDescent="0.25">
      <c r="B121" s="292" t="str">
        <f>'III. Data Inputs-BE'!$B$35</f>
        <v>March</v>
      </c>
      <c r="C121" s="140">
        <f>'III. Data Inputs-BE'!$E$35</f>
        <v>31</v>
      </c>
      <c r="D121" s="452">
        <f>MIN(0.95, MAX(0.104,EXP(15175*(('III. Data Inputs-BE'!$C$35+273)-303.16)/(1.987*('III. Data Inputs-BE'!$C$35+273)*303.16))))</f>
        <v>0.104</v>
      </c>
      <c r="E121" s="300">
        <f t="shared" si="12"/>
        <v>0</v>
      </c>
      <c r="F121" s="148">
        <f>(E121*'III. Data Inputs-BE'!E72*'III. Data Inputs-BE'!$E$175*C121*0.8)+G121</f>
        <v>0</v>
      </c>
      <c r="G121" s="450">
        <f>IF('III. Data Inputs-BE'!$H$34=TRUE,0,IF('III. Data Inputs-BE'!$C$138="Yes",0,(F120-H120)*(1-INDEX('III. Data Inputs-BE'!$B$141:$D$154, MATCH('V. BE CH4,AS'!B120, 'III. Data Inputs-BE'!$B$141:$B$154,0), MATCH('V. BE CH4,AS'!$C$115,'III. Data Inputs-BE'!$B$141:$D$141,0)))))</f>
        <v>0</v>
      </c>
      <c r="H121" s="148">
        <f t="shared" si="14"/>
        <v>0</v>
      </c>
      <c r="I121" s="148">
        <f>IF('III. Data Inputs-BE'!D35=0,0,H121*'III. Data Inputs-BE'!$C$109*0.68*0.001)*('III. Data Inputs-BE'!G35/'III. Data Inputs-BE'!E35)</f>
        <v>0</v>
      </c>
      <c r="J121" s="148">
        <f t="shared" si="13"/>
        <v>0</v>
      </c>
    </row>
    <row r="122" spans="1:94" s="3" customFormat="1" ht="13" x14ac:dyDescent="0.3">
      <c r="B122" s="292" t="str">
        <f>'III. Data Inputs-BE'!$B$36</f>
        <v>April</v>
      </c>
      <c r="C122" s="140">
        <f>'III. Data Inputs-BE'!$E$36</f>
        <v>30</v>
      </c>
      <c r="D122" s="452">
        <f>MIN(0.95, MAX(0.104,EXP(15175*(('III. Data Inputs-BE'!$C$36+273)-303.16)/(1.987*('III. Data Inputs-BE'!$C$36+273)*303.16))))</f>
        <v>0.104</v>
      </c>
      <c r="E122" s="300">
        <f t="shared" si="12"/>
        <v>0</v>
      </c>
      <c r="F122" s="148">
        <f>(E122*'III. Data Inputs-BE'!E73*'III. Data Inputs-BE'!$E$175*C122*0.8)+G122</f>
        <v>0</v>
      </c>
      <c r="G122" s="450">
        <f>IF('III. Data Inputs-BE'!$H$34=TRUE,0,IF('III. Data Inputs-BE'!$C$138="Yes",0,(F121-H121)*(1-INDEX('III. Data Inputs-BE'!$B$141:$D$154, MATCH('V. BE CH4,AS'!B121, 'III. Data Inputs-BE'!$B$141:$B$154,0), MATCH('V. BE CH4,AS'!$C$115,'III. Data Inputs-BE'!$B$141:$D$141,0)))))</f>
        <v>0</v>
      </c>
      <c r="H122" s="148">
        <f t="shared" si="14"/>
        <v>0</v>
      </c>
      <c r="I122" s="148">
        <f>IF('III. Data Inputs-BE'!D36=0,0,H122*'III. Data Inputs-BE'!$C$109*0.68*0.001)*('III. Data Inputs-BE'!G36/'III. Data Inputs-BE'!E36)</f>
        <v>0</v>
      </c>
      <c r="J122" s="148">
        <f t="shared" si="13"/>
        <v>0</v>
      </c>
      <c r="K122" s="4"/>
      <c r="L122" s="4"/>
      <c r="M122" s="4"/>
      <c r="O122" s="4"/>
      <c r="P122" s="74"/>
      <c r="Q122" s="74"/>
      <c r="R122" s="74"/>
    </row>
    <row r="123" spans="1:94" ht="13" x14ac:dyDescent="0.3">
      <c r="B123" s="292" t="str">
        <f>'III. Data Inputs-BE'!$B$37</f>
        <v>May</v>
      </c>
      <c r="C123" s="140">
        <f>'III. Data Inputs-BE'!$E$37</f>
        <v>31</v>
      </c>
      <c r="D123" s="452">
        <f>MIN(0.95, MAX(0.104,EXP(15175*(('III. Data Inputs-BE'!$C$37+273)-303.16)/(1.987*('III. Data Inputs-BE'!$C$37+273)*303.16))))</f>
        <v>0.104</v>
      </c>
      <c r="E123" s="300">
        <f t="shared" si="12"/>
        <v>0</v>
      </c>
      <c r="F123" s="148">
        <f>(E123*'III. Data Inputs-BE'!E74*'III. Data Inputs-BE'!$E$175*C123*0.8)+G123</f>
        <v>0</v>
      </c>
      <c r="G123" s="450">
        <f>IF('III. Data Inputs-BE'!$H$34=TRUE,0,IF('III. Data Inputs-BE'!$C$138="Yes",0,(F122-H122)*(1-INDEX('III. Data Inputs-BE'!$B$141:$D$154, MATCH('V. BE CH4,AS'!B122, 'III. Data Inputs-BE'!$B$141:$B$154,0), MATCH('V. BE CH4,AS'!$C$115,'III. Data Inputs-BE'!$B$141:$D$141,0)))))</f>
        <v>0</v>
      </c>
      <c r="H123" s="148">
        <f t="shared" si="14"/>
        <v>0</v>
      </c>
      <c r="I123" s="148">
        <f>IF('III. Data Inputs-BE'!D37=0,0,H123*'III. Data Inputs-BE'!$C$109*0.68*0.001)*('III. Data Inputs-BE'!G37/'III. Data Inputs-BE'!E37)</f>
        <v>0</v>
      </c>
      <c r="J123" s="148">
        <f t="shared" si="13"/>
        <v>0</v>
      </c>
      <c r="K123" s="4"/>
      <c r="L123" s="4"/>
      <c r="M123" s="4"/>
      <c r="O123" s="4"/>
      <c r="P123" s="36"/>
      <c r="Q123" s="36"/>
      <c r="R123" s="36"/>
    </row>
    <row r="124" spans="1:94" ht="13" x14ac:dyDescent="0.3">
      <c r="B124" s="292" t="str">
        <f>'III. Data Inputs-BE'!$B$38</f>
        <v>June</v>
      </c>
      <c r="C124" s="140">
        <f>'III. Data Inputs-BE'!$E$38</f>
        <v>30</v>
      </c>
      <c r="D124" s="452">
        <f>MIN(0.95, MAX(0.104,EXP(15175*(('III. Data Inputs-BE'!$C$38+273)-303.16)/(1.987*('III. Data Inputs-BE'!$C$38+273)*303.16))))</f>
        <v>0.104</v>
      </c>
      <c r="E124" s="300">
        <f t="shared" si="12"/>
        <v>0</v>
      </c>
      <c r="F124" s="148">
        <f>(E124*'III. Data Inputs-BE'!E75*'III. Data Inputs-BE'!$E$175*C124*0.8)+G124</f>
        <v>0</v>
      </c>
      <c r="G124" s="450">
        <f>IF('III. Data Inputs-BE'!$H$34=TRUE,0,IF('III. Data Inputs-BE'!$C$138="Yes",0,(F123-H123)*(1-INDEX('III. Data Inputs-BE'!$B$141:$D$154, MATCH('V. BE CH4,AS'!B123, 'III. Data Inputs-BE'!$B$141:$B$154,0), MATCH('V. BE CH4,AS'!$C$115,'III. Data Inputs-BE'!$B$141:$D$141,0)))))</f>
        <v>0</v>
      </c>
      <c r="H124" s="148">
        <f t="shared" si="14"/>
        <v>0</v>
      </c>
      <c r="I124" s="148">
        <f>IF('III. Data Inputs-BE'!D38=0,0,H124*'III. Data Inputs-BE'!$C$109*0.68*0.001)*('III. Data Inputs-BE'!G38/'III. Data Inputs-BE'!E38)</f>
        <v>0</v>
      </c>
      <c r="J124" s="148">
        <f t="shared" si="13"/>
        <v>0</v>
      </c>
      <c r="K124" s="4"/>
      <c r="L124" s="4"/>
      <c r="M124" s="4"/>
      <c r="O124" s="4"/>
      <c r="P124" s="36"/>
      <c r="Q124" s="36"/>
      <c r="R124" s="36"/>
    </row>
    <row r="125" spans="1:94" x14ac:dyDescent="0.25">
      <c r="B125" s="292" t="str">
        <f>'III. Data Inputs-BE'!$B$39</f>
        <v>July</v>
      </c>
      <c r="C125" s="140">
        <f>'III. Data Inputs-BE'!$E$39</f>
        <v>31</v>
      </c>
      <c r="D125" s="452">
        <f>MIN(0.95, MAX(0.104,EXP(15175*(('III. Data Inputs-BE'!$C$39+273)-303.16)/(1.987*('III. Data Inputs-BE'!$C$39+273)*303.16))))</f>
        <v>0.104</v>
      </c>
      <c r="E125" s="300">
        <f t="shared" si="12"/>
        <v>0</v>
      </c>
      <c r="F125" s="148">
        <f>(E125*'III. Data Inputs-BE'!E76*'III. Data Inputs-BE'!$E$175*C125*0.8)+G125</f>
        <v>0</v>
      </c>
      <c r="G125" s="450">
        <f>IF('III. Data Inputs-BE'!$H$34=TRUE,0,IF('III. Data Inputs-BE'!$C$138="Yes",0,(F124-H124)*(1-INDEX('III. Data Inputs-BE'!$B$141:$D$154, MATCH('V. BE CH4,AS'!B124, 'III. Data Inputs-BE'!$B$141:$B$154,0), MATCH('V. BE CH4,AS'!$C$115,'III. Data Inputs-BE'!$B$141:$D$141,0)))))</f>
        <v>0</v>
      </c>
      <c r="H125" s="148">
        <f t="shared" si="14"/>
        <v>0</v>
      </c>
      <c r="I125" s="148">
        <f>IF('III. Data Inputs-BE'!D39=0,0,H125*'III. Data Inputs-BE'!$C$109*0.68*0.001)*('III. Data Inputs-BE'!G39/'III. Data Inputs-BE'!E39)</f>
        <v>0</v>
      </c>
      <c r="J125" s="148">
        <f t="shared" si="13"/>
        <v>0</v>
      </c>
      <c r="K125" s="36"/>
      <c r="L125" s="36"/>
      <c r="M125" s="36"/>
    </row>
    <row r="126" spans="1:94" x14ac:dyDescent="0.25">
      <c r="B126" s="292" t="str">
        <f>'III. Data Inputs-BE'!$B$40</f>
        <v>August</v>
      </c>
      <c r="C126" s="140">
        <f>'III. Data Inputs-BE'!$E$40</f>
        <v>31</v>
      </c>
      <c r="D126" s="452">
        <f>MIN(0.95, MAX(0.104,EXP(15175*(('III. Data Inputs-BE'!$C$40+273)-303.16)/(1.987*('III. Data Inputs-BE'!$C$40+273)*303.16))))</f>
        <v>0.104</v>
      </c>
      <c r="E126" s="300">
        <f t="shared" si="12"/>
        <v>0</v>
      </c>
      <c r="F126" s="148">
        <f>(E126*'III. Data Inputs-BE'!E77*'III. Data Inputs-BE'!$E$175*C126*0.8)+G126</f>
        <v>0</v>
      </c>
      <c r="G126" s="450">
        <f>IF('III. Data Inputs-BE'!$H$34=TRUE,0,IF('III. Data Inputs-BE'!$C$138="Yes",0,(F125-H125)*(1-INDEX('III. Data Inputs-BE'!$B$141:$D$154, MATCH('V. BE CH4,AS'!B125, 'III. Data Inputs-BE'!$B$141:$B$154,0), MATCH('V. BE CH4,AS'!$C$115,'III. Data Inputs-BE'!$B$141:$D$141,0)))))</f>
        <v>0</v>
      </c>
      <c r="H126" s="148">
        <f t="shared" si="14"/>
        <v>0</v>
      </c>
      <c r="I126" s="148">
        <f>IF('III. Data Inputs-BE'!D40=0,0,H126*'III. Data Inputs-BE'!$C$109*0.68*0.001)*('III. Data Inputs-BE'!G40/'III. Data Inputs-BE'!E40)</f>
        <v>0</v>
      </c>
      <c r="J126" s="148">
        <f t="shared" si="13"/>
        <v>0</v>
      </c>
      <c r="K126" s="96"/>
      <c r="L126" s="96"/>
    </row>
    <row r="127" spans="1:94" x14ac:dyDescent="0.25">
      <c r="B127" s="292" t="str">
        <f>'III. Data Inputs-BE'!$B$41</f>
        <v>September</v>
      </c>
      <c r="C127" s="140">
        <f>'III. Data Inputs-BE'!$E$41</f>
        <v>30</v>
      </c>
      <c r="D127" s="452">
        <f>MIN(0.95, MAX(0.104,EXP(15175*(('III. Data Inputs-BE'!$C$41+273)-303.16)/(1.987*('III. Data Inputs-BE'!$C$41+273)*303.16))))</f>
        <v>0.104</v>
      </c>
      <c r="E127" s="300">
        <f t="shared" si="12"/>
        <v>0</v>
      </c>
      <c r="F127" s="148">
        <f>(E127*'III. Data Inputs-BE'!E78*'III. Data Inputs-BE'!$E$175*C127*0.8)+G127</f>
        <v>0</v>
      </c>
      <c r="G127" s="450">
        <f>IF('III. Data Inputs-BE'!$H$34=TRUE,0,IF('III. Data Inputs-BE'!$C$138="Yes",0,(F126-H126)*(1-INDEX('III. Data Inputs-BE'!$B$141:$D$154, MATCH('V. BE CH4,AS'!B126, 'III. Data Inputs-BE'!$B$141:$B$154,0), MATCH('V. BE CH4,AS'!$C$115,'III. Data Inputs-BE'!$B$141:$D$141,0)))))</f>
        <v>0</v>
      </c>
      <c r="H127" s="148">
        <f t="shared" si="14"/>
        <v>0</v>
      </c>
      <c r="I127" s="148">
        <f>IF('III. Data Inputs-BE'!D41=0,0,H127*'III. Data Inputs-BE'!$C$109*0.68*0.001)*('III. Data Inputs-BE'!G41/'III. Data Inputs-BE'!E41)</f>
        <v>0</v>
      </c>
      <c r="J127" s="148">
        <f t="shared" si="13"/>
        <v>0</v>
      </c>
    </row>
    <row r="128" spans="1:94" x14ac:dyDescent="0.25">
      <c r="B128" s="292" t="str">
        <f>'III. Data Inputs-BE'!$B$42</f>
        <v>October</v>
      </c>
      <c r="C128" s="140">
        <f>'III. Data Inputs-BE'!$E$42</f>
        <v>31</v>
      </c>
      <c r="D128" s="452">
        <f>MIN(0.95, MAX(0.104,EXP(15175*(('III. Data Inputs-BE'!$C$42+273)-303.16)/(1.987*('III. Data Inputs-BE'!$C$42+273)*303.16))))</f>
        <v>0.104</v>
      </c>
      <c r="E128" s="300">
        <f t="shared" si="12"/>
        <v>0</v>
      </c>
      <c r="F128" s="148">
        <f>(E128*'III. Data Inputs-BE'!E79*'III. Data Inputs-BE'!$E$175*C128*0.8)+G128</f>
        <v>0</v>
      </c>
      <c r="G128" s="450">
        <f>IF('III. Data Inputs-BE'!$H$34=TRUE,0,IF('III. Data Inputs-BE'!$C$138="Yes",0,(F127-H127)*(1-INDEX('III. Data Inputs-BE'!$B$141:$D$154, MATCH('V. BE CH4,AS'!B127, 'III. Data Inputs-BE'!$B$141:$B$154,0), MATCH('V. BE CH4,AS'!$C$115,'III. Data Inputs-BE'!$B$141:$D$141,0)))))</f>
        <v>0</v>
      </c>
      <c r="H128" s="148">
        <f t="shared" si="14"/>
        <v>0</v>
      </c>
      <c r="I128" s="148">
        <f>IF('III. Data Inputs-BE'!D42=0,0,H128*'III. Data Inputs-BE'!$C$109*0.68*0.001)*('III. Data Inputs-BE'!G42/'III. Data Inputs-BE'!E42)</f>
        <v>0</v>
      </c>
      <c r="J128" s="148">
        <f t="shared" si="13"/>
        <v>0</v>
      </c>
    </row>
    <row r="129" spans="1:94" x14ac:dyDescent="0.25">
      <c r="B129" s="292" t="str">
        <f>'III. Data Inputs-BE'!$B$43</f>
        <v>November</v>
      </c>
      <c r="C129" s="140">
        <f>'III. Data Inputs-BE'!$E$43</f>
        <v>30</v>
      </c>
      <c r="D129" s="452">
        <f>MIN(0.95, MAX(0.104,EXP(15175*(('III. Data Inputs-BE'!$C$43+273)-303.16)/(1.987*('III. Data Inputs-BE'!$C$43+273)*303.16))))</f>
        <v>0.104</v>
      </c>
      <c r="E129" s="300">
        <f t="shared" si="12"/>
        <v>0</v>
      </c>
      <c r="F129" s="148">
        <f>(E129*'III. Data Inputs-BE'!E80*'III. Data Inputs-BE'!$E$175*C129*0.8)+G129</f>
        <v>0</v>
      </c>
      <c r="G129" s="450">
        <f>IF('III. Data Inputs-BE'!$H$34=TRUE,0,IF('III. Data Inputs-BE'!$C$138="Yes",0,(F128-H128)*(1-INDEX('III. Data Inputs-BE'!$B$141:$D$154, MATCH('V. BE CH4,AS'!B128, 'III. Data Inputs-BE'!$B$141:$B$154,0), MATCH('V. BE CH4,AS'!$C$115,'III. Data Inputs-BE'!$B$141:$D$141,0)))))</f>
        <v>0</v>
      </c>
      <c r="H129" s="148">
        <f t="shared" si="14"/>
        <v>0</v>
      </c>
      <c r="I129" s="148">
        <f>IF('III. Data Inputs-BE'!D43=0,0,H129*'III. Data Inputs-BE'!$C$109*0.68*0.001)*('III. Data Inputs-BE'!G43/'III. Data Inputs-BE'!E43)</f>
        <v>0</v>
      </c>
      <c r="J129" s="148">
        <f t="shared" si="13"/>
        <v>0</v>
      </c>
    </row>
    <row r="130" spans="1:94" x14ac:dyDescent="0.25">
      <c r="B130" s="528" t="str">
        <f>'III. Data Inputs-BE'!$B$44</f>
        <v>December</v>
      </c>
      <c r="C130" s="464">
        <f>'III. Data Inputs-BE'!$E$44</f>
        <v>31</v>
      </c>
      <c r="D130" s="452">
        <f>MIN(0.95, MAX(0.104,EXP(15175*(('III. Data Inputs-BE'!$C$44+273)-303.16)/(1.987*('III. Data Inputs-BE'!$C$44+273)*303.16))))</f>
        <v>0.104</v>
      </c>
      <c r="E130" s="466">
        <f t="shared" si="12"/>
        <v>0</v>
      </c>
      <c r="F130" s="465">
        <f>(E130*'III. Data Inputs-BE'!E81*'III. Data Inputs-BE'!$E$175*C130*0.8)+G130</f>
        <v>0</v>
      </c>
      <c r="G130" s="467">
        <f>IF('III. Data Inputs-BE'!$H$34=TRUE,0,IF('III. Data Inputs-BE'!$C$138="Yes",0,(F129-H129)*(1-INDEX('III. Data Inputs-BE'!$B$141:$D$154, MATCH('V. BE CH4,AS'!B129, 'III. Data Inputs-BE'!$B$141:$B$154,0), MATCH('V. BE CH4,AS'!$C$115,'III. Data Inputs-BE'!$B$141:$D$141,0)))))</f>
        <v>0</v>
      </c>
      <c r="H130" s="148">
        <f t="shared" si="14"/>
        <v>0</v>
      </c>
      <c r="I130" s="148">
        <f>IF('III. Data Inputs-BE'!D44=0,0,H130*'III. Data Inputs-BE'!$C$109*0.68*0.001)*('III. Data Inputs-BE'!G44/'III. Data Inputs-BE'!E44)</f>
        <v>0</v>
      </c>
      <c r="J130" s="148">
        <f t="shared" si="13"/>
        <v>0</v>
      </c>
    </row>
    <row r="131" spans="1:94" ht="13" x14ac:dyDescent="0.3">
      <c r="B131" s="525" t="s">
        <v>396</v>
      </c>
      <c r="C131" s="468"/>
      <c r="D131" s="456"/>
      <c r="E131" s="456"/>
      <c r="F131" s="469"/>
      <c r="G131" s="470"/>
      <c r="H131" s="471">
        <f>SUM(H119:H130)</f>
        <v>0</v>
      </c>
      <c r="I131" s="462">
        <f>SUM(I119:I130)</f>
        <v>0</v>
      </c>
      <c r="J131" s="462">
        <f>SUM(J119:J130)</f>
        <v>0</v>
      </c>
    </row>
    <row r="132" spans="1:94" ht="13" x14ac:dyDescent="0.3">
      <c r="B132" s="517"/>
      <c r="C132" s="3"/>
      <c r="D132" s="57"/>
      <c r="E132" s="57"/>
      <c r="F132" s="58"/>
      <c r="G132" s="58"/>
      <c r="H132" s="58"/>
      <c r="I132" s="58"/>
      <c r="J132" s="58"/>
    </row>
    <row r="133" spans="1:94" s="60" customFormat="1" ht="13" x14ac:dyDescent="0.3">
      <c r="A133" s="13"/>
      <c r="B133" s="526" t="s">
        <v>393</v>
      </c>
      <c r="C133" s="428"/>
      <c r="D133" s="460"/>
      <c r="E133" s="460"/>
      <c r="F133" s="461"/>
      <c r="G133" s="472">
        <f>F130-H130</f>
        <v>0</v>
      </c>
      <c r="H133" s="58"/>
      <c r="I133" s="58"/>
      <c r="J133" s="58"/>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c r="AO133" s="13"/>
      <c r="AP133" s="13"/>
      <c r="AQ133" s="13"/>
      <c r="AR133" s="13"/>
      <c r="AS133" s="13"/>
      <c r="AT133" s="13"/>
      <c r="AU133" s="13"/>
      <c r="AV133" s="13"/>
      <c r="AW133" s="13"/>
      <c r="AX133" s="13"/>
      <c r="AY133" s="13"/>
      <c r="AZ133" s="13"/>
      <c r="BA133" s="13"/>
      <c r="BB133" s="13"/>
      <c r="BC133" s="13"/>
      <c r="BD133" s="13"/>
      <c r="BE133" s="13"/>
      <c r="BF133" s="13"/>
      <c r="BG133" s="13"/>
      <c r="BH133" s="13"/>
      <c r="BI133" s="13"/>
      <c r="BJ133" s="13"/>
      <c r="BK133" s="13"/>
      <c r="BL133" s="13"/>
      <c r="BM133" s="13"/>
      <c r="BN133" s="13"/>
      <c r="BO133" s="13"/>
      <c r="BP133" s="13"/>
      <c r="BQ133" s="13"/>
      <c r="BR133" s="13"/>
      <c r="BS133" s="13"/>
      <c r="BT133" s="13"/>
      <c r="BU133" s="13"/>
      <c r="BV133" s="13"/>
      <c r="BW133" s="13"/>
      <c r="BX133" s="13"/>
      <c r="BY133" s="13"/>
      <c r="BZ133" s="13"/>
      <c r="CA133" s="13"/>
      <c r="CB133" s="13"/>
      <c r="CC133" s="13"/>
      <c r="CD133" s="13"/>
      <c r="CE133" s="13"/>
      <c r="CF133" s="13"/>
      <c r="CG133" s="13"/>
      <c r="CH133" s="13"/>
      <c r="CI133" s="13"/>
      <c r="CJ133" s="13"/>
      <c r="CK133" s="13"/>
      <c r="CL133" s="13"/>
      <c r="CM133" s="13"/>
      <c r="CN133" s="13"/>
      <c r="CO133" s="13"/>
      <c r="CP133" s="13"/>
    </row>
    <row r="134" spans="1:94" ht="62.5" x14ac:dyDescent="0.3">
      <c r="G134" s="459" t="s">
        <v>394</v>
      </c>
      <c r="H134" s="58"/>
      <c r="I134" s="58"/>
      <c r="J134" s="58"/>
    </row>
    <row r="135" spans="1:94" ht="13" x14ac:dyDescent="0.25">
      <c r="B135" s="517"/>
      <c r="C135" s="46"/>
    </row>
    <row r="136" spans="1:94" ht="13" x14ac:dyDescent="0.25">
      <c r="B136" s="517"/>
      <c r="C136" s="46"/>
    </row>
    <row r="137" spans="1:94" s="60" customFormat="1" ht="13" x14ac:dyDescent="0.25">
      <c r="A137" s="13"/>
      <c r="B137" s="517"/>
      <c r="C137" s="46"/>
      <c r="D137" s="41"/>
      <c r="E137" s="549" t="s">
        <v>229</v>
      </c>
      <c r="F137" s="554"/>
      <c r="G137" s="554"/>
      <c r="H137" s="554"/>
      <c r="I137" s="554"/>
      <c r="J137" s="554"/>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c r="AO137" s="13"/>
      <c r="AP137" s="13"/>
      <c r="AQ137" s="13"/>
      <c r="AR137" s="13"/>
      <c r="AS137" s="13"/>
      <c r="AT137" s="13"/>
      <c r="AU137" s="13"/>
      <c r="AV137" s="13"/>
      <c r="AW137" s="13"/>
      <c r="AX137" s="13"/>
      <c r="AY137" s="13"/>
      <c r="AZ137" s="13"/>
      <c r="BA137" s="13"/>
      <c r="BB137" s="13"/>
      <c r="BC137" s="13"/>
      <c r="BD137" s="13"/>
      <c r="BE137" s="13"/>
      <c r="BF137" s="13"/>
      <c r="BG137" s="13"/>
      <c r="BH137" s="13"/>
      <c r="BI137" s="13"/>
      <c r="BJ137" s="13"/>
      <c r="BK137" s="13"/>
      <c r="BL137" s="13"/>
      <c r="BM137" s="13"/>
      <c r="BN137" s="13"/>
      <c r="BO137" s="13"/>
      <c r="BP137" s="13"/>
      <c r="BQ137" s="13"/>
      <c r="BR137" s="13"/>
      <c r="BS137" s="13"/>
      <c r="BT137" s="13"/>
      <c r="BU137" s="13"/>
      <c r="BV137" s="13"/>
      <c r="BW137" s="13"/>
      <c r="BX137" s="13"/>
      <c r="BY137" s="13"/>
      <c r="BZ137" s="13"/>
      <c r="CA137" s="13"/>
      <c r="CB137" s="13"/>
      <c r="CC137" s="13"/>
      <c r="CD137" s="13"/>
      <c r="CE137" s="13"/>
      <c r="CF137" s="13"/>
      <c r="CG137" s="13"/>
      <c r="CH137" s="13"/>
      <c r="CI137" s="13"/>
      <c r="CJ137" s="13"/>
      <c r="CK137" s="13"/>
      <c r="CL137" s="13"/>
      <c r="CM137" s="13"/>
      <c r="CN137" s="13"/>
      <c r="CO137" s="13"/>
      <c r="CP137" s="13"/>
    </row>
    <row r="138" spans="1:94" s="60" customFormat="1" ht="13" x14ac:dyDescent="0.25">
      <c r="A138" s="13"/>
      <c r="B138" s="517"/>
      <c r="C138" s="46"/>
      <c r="D138" s="41"/>
      <c r="E138" s="554"/>
      <c r="F138" s="554"/>
      <c r="G138" s="554"/>
      <c r="H138" s="554"/>
      <c r="I138" s="554"/>
      <c r="J138" s="554"/>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13"/>
      <c r="AR138" s="13"/>
      <c r="AS138" s="13"/>
      <c r="AT138" s="13"/>
      <c r="AU138" s="13"/>
      <c r="AV138" s="13"/>
      <c r="AW138" s="13"/>
      <c r="AX138" s="13"/>
      <c r="AY138" s="13"/>
      <c r="AZ138" s="13"/>
      <c r="BA138" s="13"/>
      <c r="BB138" s="13"/>
      <c r="BC138" s="13"/>
      <c r="BD138" s="13"/>
      <c r="BE138" s="13"/>
      <c r="BF138" s="13"/>
      <c r="BG138" s="13"/>
      <c r="BH138" s="13"/>
      <c r="BI138" s="13"/>
      <c r="BJ138" s="13"/>
      <c r="BK138" s="13"/>
      <c r="BL138" s="13"/>
      <c r="BM138" s="13"/>
      <c r="BN138" s="13"/>
      <c r="BO138" s="13"/>
      <c r="BP138" s="13"/>
      <c r="BQ138" s="13"/>
      <c r="BR138" s="13"/>
      <c r="BS138" s="13"/>
      <c r="BT138" s="13"/>
      <c r="BU138" s="13"/>
      <c r="BV138" s="13"/>
      <c r="BW138" s="13"/>
      <c r="BX138" s="13"/>
      <c r="BY138" s="13"/>
      <c r="BZ138" s="13"/>
      <c r="CA138" s="13"/>
      <c r="CB138" s="13"/>
      <c r="CC138" s="13"/>
      <c r="CD138" s="13"/>
      <c r="CE138" s="13"/>
      <c r="CF138" s="13"/>
      <c r="CG138" s="13"/>
      <c r="CH138" s="13"/>
      <c r="CI138" s="13"/>
      <c r="CJ138" s="13"/>
      <c r="CK138" s="13"/>
      <c r="CL138" s="13"/>
      <c r="CM138" s="13"/>
      <c r="CN138" s="13"/>
      <c r="CO138" s="13"/>
      <c r="CP138" s="13"/>
    </row>
    <row r="139" spans="1:94" ht="13" x14ac:dyDescent="0.3">
      <c r="B139" s="395" t="str">
        <f>B115</f>
        <v>Population 3</v>
      </c>
      <c r="C139" s="453">
        <f>'III. Data Inputs-BE'!B122</f>
        <v>0</v>
      </c>
      <c r="D139" s="138"/>
      <c r="E139" s="554"/>
      <c r="F139" s="554"/>
      <c r="G139" s="554"/>
      <c r="H139" s="554"/>
      <c r="I139" s="554"/>
      <c r="J139" s="554"/>
    </row>
    <row r="140" spans="1:94" ht="15" x14ac:dyDescent="0.3">
      <c r="B140" s="524" t="s">
        <v>383</v>
      </c>
      <c r="C140" s="454">
        <f>C116</f>
        <v>0</v>
      </c>
      <c r="E140" s="58"/>
      <c r="F140" s="57"/>
      <c r="G140" s="57"/>
      <c r="H140" s="57"/>
      <c r="I140" s="57"/>
      <c r="J140" s="57"/>
    </row>
    <row r="141" spans="1:94" s="3" customFormat="1" ht="13" x14ac:dyDescent="0.3">
      <c r="B141" s="524"/>
      <c r="C141" s="128"/>
      <c r="D141" s="41"/>
      <c r="E141" s="58"/>
      <c r="F141" s="57"/>
      <c r="G141" s="57"/>
      <c r="H141" s="57"/>
      <c r="I141" s="57"/>
      <c r="J141" s="57"/>
      <c r="K141" s="142"/>
      <c r="L141" s="142"/>
      <c r="M141" s="143"/>
      <c r="N141" s="143"/>
      <c r="O141" s="4"/>
      <c r="Q141" s="142"/>
    </row>
    <row r="142" spans="1:94" ht="29" x14ac:dyDescent="0.4">
      <c r="B142" s="369" t="s">
        <v>195</v>
      </c>
      <c r="C142" s="128" t="s">
        <v>384</v>
      </c>
      <c r="D142" s="447" t="s">
        <v>385</v>
      </c>
      <c r="E142" s="448" t="s">
        <v>386</v>
      </c>
      <c r="F142" s="435" t="s">
        <v>387</v>
      </c>
      <c r="G142" s="448" t="s">
        <v>388</v>
      </c>
      <c r="H142" s="435" t="s">
        <v>389</v>
      </c>
      <c r="I142" s="435" t="s">
        <v>390</v>
      </c>
      <c r="J142" s="435" t="s">
        <v>391</v>
      </c>
      <c r="K142" s="96"/>
      <c r="L142" s="96"/>
      <c r="M142" s="96"/>
      <c r="N142" s="144"/>
      <c r="O142" s="96"/>
      <c r="P142" s="144"/>
      <c r="Q142" s="144"/>
    </row>
    <row r="143" spans="1:94" x14ac:dyDescent="0.25">
      <c r="B143" s="292" t="str">
        <f>'III. Data Inputs-BE'!$B$33</f>
        <v>January</v>
      </c>
      <c r="C143" s="140">
        <f>'III. Data Inputs-BE'!$E$33</f>
        <v>31</v>
      </c>
      <c r="D143" s="452">
        <f>MIN(0.95, MAX(0.104,EXP(15175*(('III. Data Inputs-BE'!$C$33+273)-303.16)/(1.987*('III. Data Inputs-BE'!$C$33+273)*303.16))))</f>
        <v>0.104</v>
      </c>
      <c r="E143" s="300">
        <f t="shared" ref="E143:E154" si="15">$C$140</f>
        <v>0</v>
      </c>
      <c r="F143" s="148">
        <f>(E143*'III. Data Inputs-BE'!E70*'III. Data Inputs-BE'!$E$176*C143*0.8)+G143</f>
        <v>0</v>
      </c>
      <c r="G143" s="449">
        <v>0</v>
      </c>
      <c r="H143" s="148">
        <f>F143*D143</f>
        <v>0</v>
      </c>
      <c r="I143" s="148">
        <f>IF('III. Data Inputs-BE'!D33=0,0,H143*'III. Data Inputs-BE'!$C$109*0.68*0.001)*('III. Data Inputs-BE'!G33/'III. Data Inputs-BE'!E33)</f>
        <v>0</v>
      </c>
      <c r="J143" s="148">
        <f t="shared" ref="J143:J154" si="16">I143*gwp_ch4</f>
        <v>0</v>
      </c>
      <c r="K143" s="96"/>
      <c r="L143" s="96"/>
      <c r="O143" s="46"/>
      <c r="P143" s="27"/>
    </row>
    <row r="144" spans="1:94" ht="13" x14ac:dyDescent="0.3">
      <c r="B144" s="292" t="str">
        <f>'III. Data Inputs-BE'!$B$34</f>
        <v>February</v>
      </c>
      <c r="C144" s="140">
        <f>'III. Data Inputs-BE'!$E$34</f>
        <v>28</v>
      </c>
      <c r="D144" s="452">
        <f>MIN(0.95, MAX(0.104,EXP(15175*(('III. Data Inputs-BE'!$C$34+273)-303.16)/(1.987*('III. Data Inputs-BE'!$C$34+273)*303.16))))</f>
        <v>0.104</v>
      </c>
      <c r="E144" s="300">
        <f t="shared" si="15"/>
        <v>0</v>
      </c>
      <c r="F144" s="148">
        <f>(E144*'III. Data Inputs-BE'!E71*'III. Data Inputs-BE'!$E$176*C144*0.8)+G144</f>
        <v>0</v>
      </c>
      <c r="G144" s="450">
        <f>IF('III. Data Inputs-BE'!$H$34=TRUE,0,IF('III. Data Inputs-BE'!$C$138="Yes",0,(F143-H143)*(1-INDEX('III. Data Inputs-BE'!$B$141:$D$154, MATCH('V. BE CH4,AS'!B143, 'III. Data Inputs-BE'!$B$141:$B$154,0), MATCH('V. BE CH4,AS'!$C$139,'III. Data Inputs-BE'!$B$141:$D$141,0)))))</f>
        <v>0</v>
      </c>
      <c r="H144" s="148">
        <f t="shared" ref="H144:H154" si="17">F144*D144</f>
        <v>0</v>
      </c>
      <c r="I144" s="148">
        <f>IF('III. Data Inputs-BE'!D34=0,0,H144*'III. Data Inputs-BE'!$C$109*0.68*0.001)*('III. Data Inputs-BE'!G34/'III. Data Inputs-BE'!E34)</f>
        <v>0</v>
      </c>
      <c r="J144" s="148">
        <f t="shared" si="16"/>
        <v>0</v>
      </c>
      <c r="N144" s="3"/>
      <c r="O144" s="46"/>
    </row>
    <row r="145" spans="1:94" x14ac:dyDescent="0.25">
      <c r="B145" s="292" t="str">
        <f>'III. Data Inputs-BE'!$B$35</f>
        <v>March</v>
      </c>
      <c r="C145" s="140">
        <f>'III. Data Inputs-BE'!$E$35</f>
        <v>31</v>
      </c>
      <c r="D145" s="452">
        <f>MIN(0.95, MAX(0.104,EXP(15175*(('III. Data Inputs-BE'!$C$35+273)-303.16)/(1.987*('III. Data Inputs-BE'!$C$35+273)*303.16))))</f>
        <v>0.104</v>
      </c>
      <c r="E145" s="300">
        <f t="shared" si="15"/>
        <v>0</v>
      </c>
      <c r="F145" s="148">
        <f>(E145*'III. Data Inputs-BE'!E72*'III. Data Inputs-BE'!$E$176*C145*0.8)+G145</f>
        <v>0</v>
      </c>
      <c r="G145" s="450">
        <f>IF('III. Data Inputs-BE'!$H$34=TRUE,0,IF('III. Data Inputs-BE'!$C$138="Yes",0,(F144-H144)*(1-INDEX('III. Data Inputs-BE'!$B$141:$D$154, MATCH('V. BE CH4,AS'!B144, 'III. Data Inputs-BE'!$B$141:$B$154,0), MATCH('V. BE CH4,AS'!$C$139,'III. Data Inputs-BE'!$B$141:$D$141,0)))))</f>
        <v>0</v>
      </c>
      <c r="H145" s="148">
        <f t="shared" si="17"/>
        <v>0</v>
      </c>
      <c r="I145" s="148">
        <f>IF('III. Data Inputs-BE'!D35=0,0,H145*'III. Data Inputs-BE'!$C$109*0.68*0.001)*('III. Data Inputs-BE'!G35/'III. Data Inputs-BE'!E35)</f>
        <v>0</v>
      </c>
      <c r="J145" s="148">
        <f t="shared" si="16"/>
        <v>0</v>
      </c>
    </row>
    <row r="146" spans="1:94" x14ac:dyDescent="0.25">
      <c r="B146" s="292" t="str">
        <f>'III. Data Inputs-BE'!$B$36</f>
        <v>April</v>
      </c>
      <c r="C146" s="140">
        <f>'III. Data Inputs-BE'!$E$36</f>
        <v>30</v>
      </c>
      <c r="D146" s="452">
        <f>MIN(0.95, MAX(0.104,EXP(15175*(('III. Data Inputs-BE'!$C$36+273)-303.16)/(1.987*('III. Data Inputs-BE'!$C$36+273)*303.16))))</f>
        <v>0.104</v>
      </c>
      <c r="E146" s="300">
        <f t="shared" si="15"/>
        <v>0</v>
      </c>
      <c r="F146" s="148">
        <f>(E146*'III. Data Inputs-BE'!E73*'III. Data Inputs-BE'!$E$176*C146*0.8)+G146</f>
        <v>0</v>
      </c>
      <c r="G146" s="450">
        <f>IF('III. Data Inputs-BE'!$H$34=TRUE,0,IF('III. Data Inputs-BE'!$C$138="Yes",0,(F145-H145)*(1-INDEX('III. Data Inputs-BE'!$B$141:$D$154, MATCH('V. BE CH4,AS'!B145, 'III. Data Inputs-BE'!$B$141:$B$154,0), MATCH('V. BE CH4,AS'!$C$139,'III. Data Inputs-BE'!$B$141:$D$141,0)))))</f>
        <v>0</v>
      </c>
      <c r="H146" s="148">
        <f t="shared" si="17"/>
        <v>0</v>
      </c>
      <c r="I146" s="148">
        <f>IF('III. Data Inputs-BE'!D36=0,0,H146*'III. Data Inputs-BE'!$C$109*0.68*0.001)*('III. Data Inputs-BE'!G36/'III. Data Inputs-BE'!E36)</f>
        <v>0</v>
      </c>
      <c r="J146" s="148">
        <f t="shared" si="16"/>
        <v>0</v>
      </c>
    </row>
    <row r="147" spans="1:94" x14ac:dyDescent="0.25">
      <c r="B147" s="292" t="str">
        <f>'III. Data Inputs-BE'!$B$37</f>
        <v>May</v>
      </c>
      <c r="C147" s="140">
        <f>'III. Data Inputs-BE'!$E$37</f>
        <v>31</v>
      </c>
      <c r="D147" s="452">
        <f>MIN(0.95, MAX(0.104,EXP(15175*(('III. Data Inputs-BE'!$C$37+273)-303.16)/(1.987*('III. Data Inputs-BE'!$C$37+273)*303.16))))</f>
        <v>0.104</v>
      </c>
      <c r="E147" s="300">
        <f t="shared" si="15"/>
        <v>0</v>
      </c>
      <c r="F147" s="148">
        <f>(E147*'III. Data Inputs-BE'!E74*'III. Data Inputs-BE'!$E$176*C147*0.8)+G147</f>
        <v>0</v>
      </c>
      <c r="G147" s="450">
        <f>IF('III. Data Inputs-BE'!$H$34=TRUE,0,IF('III. Data Inputs-BE'!$C$138="Yes",0,(F146-H146)*(1-INDEX('III. Data Inputs-BE'!$B$141:$D$154, MATCH('V. BE CH4,AS'!B146, 'III. Data Inputs-BE'!$B$141:$B$154,0), MATCH('V. BE CH4,AS'!$C$139,'III. Data Inputs-BE'!$B$141:$D$141,0)))))</f>
        <v>0</v>
      </c>
      <c r="H147" s="148">
        <f t="shared" si="17"/>
        <v>0</v>
      </c>
      <c r="I147" s="148">
        <f>IF('III. Data Inputs-BE'!D37=0,0,H147*'III. Data Inputs-BE'!$C$109*0.68*0.001)*('III. Data Inputs-BE'!G37/'III. Data Inputs-BE'!E37)</f>
        <v>0</v>
      </c>
      <c r="J147" s="148">
        <f t="shared" si="16"/>
        <v>0</v>
      </c>
    </row>
    <row r="148" spans="1:94" x14ac:dyDescent="0.25">
      <c r="B148" s="292" t="str">
        <f>'III. Data Inputs-BE'!$B$38</f>
        <v>June</v>
      </c>
      <c r="C148" s="140">
        <f>'III. Data Inputs-BE'!$E$38</f>
        <v>30</v>
      </c>
      <c r="D148" s="452">
        <f>MIN(0.95, MAX(0.104,EXP(15175*(('III. Data Inputs-BE'!$C$38+273)-303.16)/(1.987*('III. Data Inputs-BE'!$C$38+273)*303.16))))</f>
        <v>0.104</v>
      </c>
      <c r="E148" s="300">
        <f t="shared" si="15"/>
        <v>0</v>
      </c>
      <c r="F148" s="148">
        <f>(E148*'III. Data Inputs-BE'!E75*'III. Data Inputs-BE'!$E$176*C148*0.8)+G148</f>
        <v>0</v>
      </c>
      <c r="G148" s="450">
        <f>IF('III. Data Inputs-BE'!$H$34=TRUE,0,IF('III. Data Inputs-BE'!$C$138="Yes",0,(F147-H147)*(1-INDEX('III. Data Inputs-BE'!$B$141:$D$154, MATCH('V. BE CH4,AS'!B147, 'III. Data Inputs-BE'!$B$141:$B$154,0), MATCH('V. BE CH4,AS'!$C$139,'III. Data Inputs-BE'!$B$141:$D$141,0)))))</f>
        <v>0</v>
      </c>
      <c r="H148" s="148">
        <f t="shared" si="17"/>
        <v>0</v>
      </c>
      <c r="I148" s="148">
        <f>IF('III. Data Inputs-BE'!D38=0,0,H148*'III. Data Inputs-BE'!$C$109*0.68*0.001)*('III. Data Inputs-BE'!G38/'III. Data Inputs-BE'!E38)</f>
        <v>0</v>
      </c>
      <c r="J148" s="148">
        <f t="shared" si="16"/>
        <v>0</v>
      </c>
    </row>
    <row r="149" spans="1:94" x14ac:dyDescent="0.25">
      <c r="B149" s="292" t="str">
        <f>'III. Data Inputs-BE'!$B$39</f>
        <v>July</v>
      </c>
      <c r="C149" s="140">
        <f>'III. Data Inputs-BE'!$E$39</f>
        <v>31</v>
      </c>
      <c r="D149" s="452">
        <f>MIN(0.95, MAX(0.104,EXP(15175*(('III. Data Inputs-BE'!$C$39+273)-303.16)/(1.987*('III. Data Inputs-BE'!$C$39+273)*303.16))))</f>
        <v>0.104</v>
      </c>
      <c r="E149" s="300">
        <f t="shared" si="15"/>
        <v>0</v>
      </c>
      <c r="F149" s="148">
        <f>(E149*'III. Data Inputs-BE'!E76*'III. Data Inputs-BE'!$E$176*C149*0.8)+G149</f>
        <v>0</v>
      </c>
      <c r="G149" s="450">
        <f>IF('III. Data Inputs-BE'!$H$34=TRUE,0,IF('III. Data Inputs-BE'!$C$138="Yes",0,(F148-H148)*(1-INDEX('III. Data Inputs-BE'!$B$141:$D$154, MATCH('V. BE CH4,AS'!B148, 'III. Data Inputs-BE'!$B$141:$B$154,0), MATCH('V. BE CH4,AS'!$C$139,'III. Data Inputs-BE'!$B$141:$D$141,0)))))</f>
        <v>0</v>
      </c>
      <c r="H149" s="148">
        <f t="shared" si="17"/>
        <v>0</v>
      </c>
      <c r="I149" s="148">
        <f>IF('III. Data Inputs-BE'!D39=0,0,H149*'III. Data Inputs-BE'!$C$109*0.68*0.001)*('III. Data Inputs-BE'!G39/'III. Data Inputs-BE'!E39)</f>
        <v>0</v>
      </c>
      <c r="J149" s="148">
        <f t="shared" si="16"/>
        <v>0</v>
      </c>
    </row>
    <row r="150" spans="1:94" x14ac:dyDescent="0.25">
      <c r="B150" s="292" t="str">
        <f>'III. Data Inputs-BE'!$B$40</f>
        <v>August</v>
      </c>
      <c r="C150" s="140">
        <f>'III. Data Inputs-BE'!$E$40</f>
        <v>31</v>
      </c>
      <c r="D150" s="452">
        <f>MIN(0.95, MAX(0.104,EXP(15175*(('III. Data Inputs-BE'!$C$40+273)-303.16)/(1.987*('III. Data Inputs-BE'!$C$40+273)*303.16))))</f>
        <v>0.104</v>
      </c>
      <c r="E150" s="300">
        <f t="shared" si="15"/>
        <v>0</v>
      </c>
      <c r="F150" s="148">
        <f>(E150*'III. Data Inputs-BE'!E77*'III. Data Inputs-BE'!$E$176*C150*0.8)+G150</f>
        <v>0</v>
      </c>
      <c r="G150" s="450">
        <f>IF('III. Data Inputs-BE'!$H$34=TRUE,0,IF('III. Data Inputs-BE'!$C$138="Yes",0,(F149-H149)*(1-INDEX('III. Data Inputs-BE'!$B$141:$D$154, MATCH('V. BE CH4,AS'!B149, 'III. Data Inputs-BE'!$B$141:$B$154,0), MATCH('V. BE CH4,AS'!$C$139,'III. Data Inputs-BE'!$B$141:$D$141,0)))))</f>
        <v>0</v>
      </c>
      <c r="H150" s="148">
        <f t="shared" si="17"/>
        <v>0</v>
      </c>
      <c r="I150" s="148">
        <f>IF('III. Data Inputs-BE'!D40=0,0,H150*'III. Data Inputs-BE'!$C$109*0.68*0.001)*('III. Data Inputs-BE'!G40/'III. Data Inputs-BE'!E40)</f>
        <v>0</v>
      </c>
      <c r="J150" s="148">
        <f t="shared" si="16"/>
        <v>0</v>
      </c>
    </row>
    <row r="151" spans="1:94" x14ac:dyDescent="0.25">
      <c r="B151" s="292" t="str">
        <f>'III. Data Inputs-BE'!$B$41</f>
        <v>September</v>
      </c>
      <c r="C151" s="140">
        <f>'III. Data Inputs-BE'!$E$41</f>
        <v>30</v>
      </c>
      <c r="D151" s="452">
        <f>MIN(0.95, MAX(0.104,EXP(15175*(('III. Data Inputs-BE'!$C$41+273)-303.16)/(1.987*('III. Data Inputs-BE'!$C$41+273)*303.16))))</f>
        <v>0.104</v>
      </c>
      <c r="E151" s="300">
        <f t="shared" si="15"/>
        <v>0</v>
      </c>
      <c r="F151" s="148">
        <f>(E151*'III. Data Inputs-BE'!E78*'III. Data Inputs-BE'!$E$176*C151*0.8)+G151</f>
        <v>0</v>
      </c>
      <c r="G151" s="450">
        <f>IF('III. Data Inputs-BE'!$H$34=TRUE,0,IF('III. Data Inputs-BE'!$C$138="Yes",0,(F150-H150)*(1-INDEX('III. Data Inputs-BE'!$B$141:$D$154, MATCH('V. BE CH4,AS'!B150, 'III. Data Inputs-BE'!$B$141:$B$154,0), MATCH('V. BE CH4,AS'!$C$139,'III. Data Inputs-BE'!$B$141:$D$141,0)))))</f>
        <v>0</v>
      </c>
      <c r="H151" s="148">
        <f t="shared" si="17"/>
        <v>0</v>
      </c>
      <c r="I151" s="148">
        <f>IF('III. Data Inputs-BE'!D41=0,0,H151*'III. Data Inputs-BE'!$C$109*0.68*0.001)*('III. Data Inputs-BE'!G41/'III. Data Inputs-BE'!E41)</f>
        <v>0</v>
      </c>
      <c r="J151" s="148">
        <f t="shared" si="16"/>
        <v>0</v>
      </c>
    </row>
    <row r="152" spans="1:94" x14ac:dyDescent="0.25">
      <c r="B152" s="292" t="str">
        <f>'III. Data Inputs-BE'!$B$42</f>
        <v>October</v>
      </c>
      <c r="C152" s="140">
        <f>'III. Data Inputs-BE'!$E$42</f>
        <v>31</v>
      </c>
      <c r="D152" s="452">
        <f>MIN(0.95, MAX(0.104,EXP(15175*(('III. Data Inputs-BE'!$C$42+273)-303.16)/(1.987*('III. Data Inputs-BE'!$C$42+273)*303.16))))</f>
        <v>0.104</v>
      </c>
      <c r="E152" s="300">
        <f t="shared" si="15"/>
        <v>0</v>
      </c>
      <c r="F152" s="148">
        <f>(E152*'III. Data Inputs-BE'!E79*'III. Data Inputs-BE'!$E$176*C152*0.8)+G152</f>
        <v>0</v>
      </c>
      <c r="G152" s="450">
        <f>IF('III. Data Inputs-BE'!$H$34=TRUE,0,IF('III. Data Inputs-BE'!$C$138="Yes",0,(F151-H151)*(1-INDEX('III. Data Inputs-BE'!$B$141:$D$154, MATCH('V. BE CH4,AS'!B151, 'III. Data Inputs-BE'!$B$141:$B$154,0), MATCH('V. BE CH4,AS'!$C$139,'III. Data Inputs-BE'!$B$141:$D$141,0)))))</f>
        <v>0</v>
      </c>
      <c r="H152" s="148">
        <f t="shared" si="17"/>
        <v>0</v>
      </c>
      <c r="I152" s="148">
        <f>IF('III. Data Inputs-BE'!D42=0,0,H152*'III. Data Inputs-BE'!$C$109*0.68*0.001)*('III. Data Inputs-BE'!G42/'III. Data Inputs-BE'!E42)</f>
        <v>0</v>
      </c>
      <c r="J152" s="148">
        <f t="shared" si="16"/>
        <v>0</v>
      </c>
    </row>
    <row r="153" spans="1:94" x14ac:dyDescent="0.25">
      <c r="B153" s="292" t="str">
        <f>'III. Data Inputs-BE'!$B$43</f>
        <v>November</v>
      </c>
      <c r="C153" s="140">
        <f>'III. Data Inputs-BE'!$E$43</f>
        <v>30</v>
      </c>
      <c r="D153" s="452">
        <f>MIN(0.95, MAX(0.104,EXP(15175*(('III. Data Inputs-BE'!$C$43+273)-303.16)/(1.987*('III. Data Inputs-BE'!$C$43+273)*303.16))))</f>
        <v>0.104</v>
      </c>
      <c r="E153" s="300">
        <f t="shared" si="15"/>
        <v>0</v>
      </c>
      <c r="F153" s="148">
        <f>(E153*'III. Data Inputs-BE'!E80*'III. Data Inputs-BE'!$E$176*C153*0.8)+G153</f>
        <v>0</v>
      </c>
      <c r="G153" s="450">
        <f>IF('III. Data Inputs-BE'!$H$34=TRUE,0,IF('III. Data Inputs-BE'!$C$138="Yes",0,(F152-H152)*(1-INDEX('III. Data Inputs-BE'!$B$141:$D$154, MATCH('V. BE CH4,AS'!B152, 'III. Data Inputs-BE'!$B$141:$B$154,0), MATCH('V. BE CH4,AS'!$C$139,'III. Data Inputs-BE'!$B$141:$D$141,0)))))</f>
        <v>0</v>
      </c>
      <c r="H153" s="148">
        <f t="shared" si="17"/>
        <v>0</v>
      </c>
      <c r="I153" s="148">
        <f>IF('III. Data Inputs-BE'!D43=0,0,H153*'III. Data Inputs-BE'!$C$109*0.68*0.001)*('III. Data Inputs-BE'!G43/'III. Data Inputs-BE'!E43)</f>
        <v>0</v>
      </c>
      <c r="J153" s="148">
        <f t="shared" si="16"/>
        <v>0</v>
      </c>
    </row>
    <row r="154" spans="1:94" x14ac:dyDescent="0.25">
      <c r="B154" s="528" t="str">
        <f>'III. Data Inputs-BE'!$B$44</f>
        <v>December</v>
      </c>
      <c r="C154" s="464">
        <f>'III. Data Inputs-BE'!$E$44</f>
        <v>31</v>
      </c>
      <c r="D154" s="452">
        <f>MIN(0.95, MAX(0.104,EXP(15175*(('III. Data Inputs-BE'!$C$44+273)-303.16)/(1.987*('III. Data Inputs-BE'!$C$44+273)*303.16))))</f>
        <v>0.104</v>
      </c>
      <c r="E154" s="466">
        <f t="shared" si="15"/>
        <v>0</v>
      </c>
      <c r="F154" s="465">
        <f>(E154*'III. Data Inputs-BE'!E81*'III. Data Inputs-BE'!$E$176*C154*0.8)+G154</f>
        <v>0</v>
      </c>
      <c r="G154" s="467">
        <f>IF('III. Data Inputs-BE'!$H$34=TRUE,0,IF('III. Data Inputs-BE'!$C$138="Yes",0,(F153-H153)*(1-INDEX('III. Data Inputs-BE'!$B$141:$D$154, MATCH('V. BE CH4,AS'!B153, 'III. Data Inputs-BE'!$B$141:$B$154,0), MATCH('V. BE CH4,AS'!$C$139,'III. Data Inputs-BE'!$B$141:$D$141,0)))))</f>
        <v>0</v>
      </c>
      <c r="H154" s="148">
        <f t="shared" si="17"/>
        <v>0</v>
      </c>
      <c r="I154" s="148">
        <f>IF('III. Data Inputs-BE'!D44=0,0,H154*'III. Data Inputs-BE'!$C$109*0.68*0.001)*('III. Data Inputs-BE'!G44/'III. Data Inputs-BE'!E44)</f>
        <v>0</v>
      </c>
      <c r="J154" s="148">
        <f t="shared" si="16"/>
        <v>0</v>
      </c>
    </row>
    <row r="155" spans="1:94" s="3" customFormat="1" ht="13" x14ac:dyDescent="0.3">
      <c r="B155" s="525" t="s">
        <v>396</v>
      </c>
      <c r="C155" s="468"/>
      <c r="D155" s="456"/>
      <c r="E155" s="456"/>
      <c r="F155" s="469"/>
      <c r="G155" s="470"/>
      <c r="H155" s="471">
        <f>SUM(H143:H154)</f>
        <v>0</v>
      </c>
      <c r="I155" s="462">
        <f>SUM(I143:I154)</f>
        <v>0</v>
      </c>
      <c r="J155" s="462">
        <f>SUM(J143:J154)</f>
        <v>0</v>
      </c>
      <c r="K155" s="142"/>
      <c r="L155" s="142"/>
      <c r="M155" s="143"/>
    </row>
    <row r="156" spans="1:94" s="3" customFormat="1" ht="13" x14ac:dyDescent="0.3">
      <c r="B156" s="517"/>
      <c r="D156" s="57"/>
      <c r="E156" s="57"/>
      <c r="F156" s="58"/>
      <c r="G156" s="58"/>
      <c r="H156" s="58"/>
      <c r="I156" s="58"/>
      <c r="J156" s="58"/>
      <c r="K156" s="142"/>
      <c r="L156" s="142"/>
      <c r="M156" s="143"/>
    </row>
    <row r="157" spans="1:94" s="152" customFormat="1" ht="13" x14ac:dyDescent="0.3">
      <c r="A157" s="3"/>
      <c r="B157" s="526" t="s">
        <v>393</v>
      </c>
      <c r="C157" s="428"/>
      <c r="D157" s="460"/>
      <c r="E157" s="460"/>
      <c r="F157" s="461"/>
      <c r="G157" s="472">
        <f>F154-H154</f>
        <v>0</v>
      </c>
      <c r="H157" s="58"/>
      <c r="I157" s="58"/>
      <c r="J157" s="58"/>
      <c r="K157" s="142"/>
      <c r="L157" s="142"/>
      <c r="M157" s="14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row>
    <row r="158" spans="1:94" s="3" customFormat="1" ht="62.5" x14ac:dyDescent="0.3">
      <c r="B158" s="47"/>
      <c r="C158" s="13"/>
      <c r="D158" s="41"/>
      <c r="E158" s="41"/>
      <c r="F158" s="41"/>
      <c r="G158" s="459" t="s">
        <v>394</v>
      </c>
      <c r="H158" s="58"/>
      <c r="I158" s="58"/>
      <c r="J158" s="58"/>
      <c r="K158" s="142"/>
      <c r="L158" s="142"/>
      <c r="M158" s="143"/>
    </row>
    <row r="160" spans="1:94" ht="13" x14ac:dyDescent="0.3">
      <c r="B160" s="39"/>
      <c r="C160" s="4"/>
      <c r="H160" s="57"/>
      <c r="I160" s="57"/>
      <c r="J160" s="57"/>
      <c r="K160" s="4"/>
      <c r="L160" s="4"/>
      <c r="M160" s="4"/>
      <c r="O160" s="4"/>
      <c r="P160" s="36"/>
      <c r="Q160" s="36"/>
      <c r="R160" s="36"/>
    </row>
    <row r="161" spans="1:94" s="60" customFormat="1" ht="13" x14ac:dyDescent="0.3">
      <c r="A161" s="13"/>
      <c r="B161" s="517"/>
      <c r="C161" s="4"/>
      <c r="D161" s="41"/>
      <c r="E161" s="549" t="s">
        <v>229</v>
      </c>
      <c r="F161" s="554"/>
      <c r="G161" s="554"/>
      <c r="H161" s="554"/>
      <c r="I161" s="554"/>
      <c r="J161" s="554"/>
      <c r="K161" s="4"/>
      <c r="L161" s="4"/>
      <c r="M161" s="4"/>
      <c r="N161" s="13"/>
      <c r="O161" s="4"/>
      <c r="P161" s="36"/>
      <c r="Q161" s="36"/>
      <c r="R161" s="36"/>
      <c r="S161" s="13"/>
      <c r="T161" s="13"/>
      <c r="U161" s="13"/>
      <c r="V161" s="13"/>
      <c r="W161" s="13"/>
      <c r="X161" s="13"/>
      <c r="Y161" s="13"/>
      <c r="Z161" s="13"/>
      <c r="AA161" s="13"/>
      <c r="AB161" s="13"/>
      <c r="AC161" s="13"/>
      <c r="AD161" s="13"/>
      <c r="AE161" s="13"/>
      <c r="AF161" s="13"/>
      <c r="AG161" s="13"/>
      <c r="AH161" s="13"/>
      <c r="AI161" s="13"/>
      <c r="AJ161" s="13"/>
      <c r="AK161" s="13"/>
      <c r="AL161" s="13"/>
      <c r="AM161" s="13"/>
      <c r="AN161" s="13"/>
      <c r="AO161" s="13"/>
      <c r="AP161" s="13"/>
      <c r="AQ161" s="13"/>
      <c r="AR161" s="13"/>
      <c r="AS161" s="13"/>
      <c r="AT161" s="13"/>
      <c r="AU161" s="13"/>
      <c r="AV161" s="13"/>
      <c r="AW161" s="13"/>
      <c r="AX161" s="13"/>
      <c r="AY161" s="13"/>
      <c r="AZ161" s="13"/>
      <c r="BA161" s="13"/>
      <c r="BB161" s="13"/>
      <c r="BC161" s="13"/>
      <c r="BD161" s="13"/>
      <c r="BE161" s="13"/>
      <c r="BF161" s="13"/>
      <c r="BG161" s="13"/>
      <c r="BH161" s="13"/>
      <c r="BI161" s="13"/>
      <c r="BJ161" s="13"/>
      <c r="BK161" s="13"/>
      <c r="BL161" s="13"/>
      <c r="BM161" s="13"/>
      <c r="BN161" s="13"/>
      <c r="BO161" s="13"/>
      <c r="BP161" s="13"/>
      <c r="BQ161" s="13"/>
      <c r="BR161" s="13"/>
      <c r="BS161" s="13"/>
      <c r="BT161" s="13"/>
      <c r="BU161" s="13"/>
      <c r="BV161" s="13"/>
      <c r="BW161" s="13"/>
      <c r="BX161" s="13"/>
      <c r="BY161" s="13"/>
      <c r="BZ161" s="13"/>
      <c r="CA161" s="13"/>
      <c r="CB161" s="13"/>
      <c r="CC161" s="13"/>
      <c r="CD161" s="13"/>
      <c r="CE161" s="13"/>
      <c r="CF161" s="13"/>
      <c r="CG161" s="13"/>
      <c r="CH161" s="13"/>
      <c r="CI161" s="13"/>
      <c r="CJ161" s="13"/>
      <c r="CK161" s="13"/>
      <c r="CL161" s="13"/>
      <c r="CM161" s="13"/>
      <c r="CN161" s="13"/>
      <c r="CO161" s="13"/>
      <c r="CP161" s="13"/>
    </row>
    <row r="162" spans="1:94" s="60" customFormat="1" ht="13" x14ac:dyDescent="0.3">
      <c r="A162" s="13"/>
      <c r="B162" s="39"/>
      <c r="C162" s="3"/>
      <c r="D162" s="41"/>
      <c r="E162" s="554"/>
      <c r="F162" s="554"/>
      <c r="G162" s="554"/>
      <c r="H162" s="554"/>
      <c r="I162" s="554"/>
      <c r="J162" s="554"/>
      <c r="K162" s="4"/>
      <c r="L162" s="4"/>
      <c r="M162" s="4"/>
      <c r="N162" s="13"/>
      <c r="O162" s="4"/>
      <c r="P162" s="36"/>
      <c r="Q162" s="36"/>
      <c r="R162" s="36"/>
      <c r="S162" s="13"/>
      <c r="T162" s="13"/>
      <c r="U162" s="13"/>
      <c r="V162" s="13"/>
      <c r="W162" s="13"/>
      <c r="X162" s="13"/>
      <c r="Y162" s="13"/>
      <c r="Z162" s="13"/>
      <c r="AA162" s="13"/>
      <c r="AB162" s="13"/>
      <c r="AC162" s="13"/>
      <c r="AD162" s="13"/>
      <c r="AE162" s="13"/>
      <c r="AF162" s="13"/>
      <c r="AG162" s="13"/>
      <c r="AH162" s="13"/>
      <c r="AI162" s="13"/>
      <c r="AJ162" s="13"/>
      <c r="AK162" s="13"/>
      <c r="AL162" s="13"/>
      <c r="AM162" s="13"/>
      <c r="AN162" s="13"/>
      <c r="AO162" s="13"/>
      <c r="AP162" s="13"/>
      <c r="AQ162" s="13"/>
      <c r="AR162" s="13"/>
      <c r="AS162" s="13"/>
      <c r="AT162" s="13"/>
      <c r="AU162" s="13"/>
      <c r="AV162" s="13"/>
      <c r="AW162" s="13"/>
      <c r="AX162" s="13"/>
      <c r="AY162" s="13"/>
      <c r="AZ162" s="13"/>
      <c r="BA162" s="13"/>
      <c r="BB162" s="13"/>
      <c r="BC162" s="13"/>
      <c r="BD162" s="13"/>
      <c r="BE162" s="13"/>
      <c r="BF162" s="13"/>
      <c r="BG162" s="13"/>
      <c r="BH162" s="13"/>
      <c r="BI162" s="13"/>
      <c r="BJ162" s="13"/>
      <c r="BK162" s="13"/>
      <c r="BL162" s="13"/>
      <c r="BM162" s="13"/>
      <c r="BN162" s="13"/>
      <c r="BO162" s="13"/>
      <c r="BP162" s="13"/>
      <c r="BQ162" s="13"/>
      <c r="BR162" s="13"/>
      <c r="BS162" s="13"/>
      <c r="BT162" s="13"/>
      <c r="BU162" s="13"/>
      <c r="BV162" s="13"/>
      <c r="BW162" s="13"/>
      <c r="BX162" s="13"/>
      <c r="BY162" s="13"/>
      <c r="BZ162" s="13"/>
      <c r="CA162" s="13"/>
      <c r="CB162" s="13"/>
      <c r="CC162" s="13"/>
      <c r="CD162" s="13"/>
      <c r="CE162" s="13"/>
      <c r="CF162" s="13"/>
      <c r="CG162" s="13"/>
      <c r="CH162" s="13"/>
      <c r="CI162" s="13"/>
      <c r="CJ162" s="13"/>
      <c r="CK162" s="13"/>
      <c r="CL162" s="13"/>
      <c r="CM162" s="13"/>
      <c r="CN162" s="13"/>
      <c r="CO162" s="13"/>
      <c r="CP162" s="13"/>
    </row>
    <row r="163" spans="1:94" ht="39" x14ac:dyDescent="0.3">
      <c r="B163" s="395" t="str">
        <f>'III. Data Inputs-BE'!B54</f>
        <v>Population 4</v>
      </c>
      <c r="C163" s="453" t="str">
        <f>'III. Data Inputs-BE'!B121</f>
        <v>Liquid/Slurry w/natural crust cover</v>
      </c>
      <c r="D163" s="138"/>
      <c r="E163" s="554"/>
      <c r="F163" s="554"/>
      <c r="G163" s="554"/>
      <c r="H163" s="554"/>
      <c r="I163" s="554"/>
      <c r="J163" s="554"/>
      <c r="K163" s="36"/>
      <c r="L163" s="36"/>
      <c r="M163" s="36"/>
    </row>
    <row r="164" spans="1:94" ht="15" x14ac:dyDescent="0.3">
      <c r="B164" s="524" t="s">
        <v>383</v>
      </c>
      <c r="C164" s="454">
        <f>'III. Data Inputs-BE'!D96</f>
        <v>0</v>
      </c>
      <c r="E164" s="58"/>
      <c r="F164" s="57"/>
      <c r="G164" s="57"/>
      <c r="H164" s="57"/>
      <c r="I164" s="57"/>
      <c r="J164" s="57"/>
      <c r="K164" s="96"/>
      <c r="L164" s="96"/>
    </row>
    <row r="165" spans="1:94" ht="13" x14ac:dyDescent="0.3">
      <c r="B165" s="524"/>
      <c r="C165" s="128"/>
      <c r="E165" s="58"/>
      <c r="F165" s="57"/>
      <c r="G165" s="57"/>
      <c r="H165" s="57"/>
      <c r="I165" s="57"/>
      <c r="J165" s="57"/>
    </row>
    <row r="166" spans="1:94" ht="29" x14ac:dyDescent="0.4">
      <c r="B166" s="369" t="s">
        <v>195</v>
      </c>
      <c r="C166" s="128" t="s">
        <v>384</v>
      </c>
      <c r="D166" s="447" t="s">
        <v>385</v>
      </c>
      <c r="E166" s="448" t="s">
        <v>386</v>
      </c>
      <c r="F166" s="435" t="s">
        <v>387</v>
      </c>
      <c r="G166" s="448" t="s">
        <v>388</v>
      </c>
      <c r="H166" s="435" t="s">
        <v>389</v>
      </c>
      <c r="I166" s="435" t="s">
        <v>390</v>
      </c>
      <c r="J166" s="435" t="s">
        <v>391</v>
      </c>
    </row>
    <row r="167" spans="1:94" x14ac:dyDescent="0.25">
      <c r="B167" s="292" t="str">
        <f>'III. Data Inputs-BE'!$B$33</f>
        <v>January</v>
      </c>
      <c r="C167" s="140">
        <f>'III. Data Inputs-BE'!$E$33</f>
        <v>31</v>
      </c>
      <c r="D167" s="452">
        <f>MIN(0.95, MAX(0.104,EXP(15175*(('III. Data Inputs-BE'!$C$33+273)-303.16)/(1.987*('III. Data Inputs-BE'!$C$33+273)*303.16))))</f>
        <v>0.104</v>
      </c>
      <c r="E167" s="300">
        <f t="shared" ref="E167:E178" si="18">$C$164</f>
        <v>0</v>
      </c>
      <c r="F167" s="148">
        <f>(E167*'III. Data Inputs-BE'!F70*'III. Data Inputs-BE'!$F$175*C167*0.8)+G167</f>
        <v>0</v>
      </c>
      <c r="G167" s="449">
        <v>0</v>
      </c>
      <c r="H167" s="148">
        <f>F167*D167</f>
        <v>0</v>
      </c>
      <c r="I167" s="148">
        <f>IF('III. Data Inputs-BE'!D33=0,0,H167*'III. Data Inputs-BE'!$C$110*0.68*0.001)*('III. Data Inputs-BE'!G33/'III. Data Inputs-BE'!E33)</f>
        <v>0</v>
      </c>
      <c r="J167" s="148">
        <f t="shared" ref="J167:J178" si="19">I167*gwp_ch4</f>
        <v>0</v>
      </c>
    </row>
    <row r="168" spans="1:94" x14ac:dyDescent="0.25">
      <c r="B168" s="292" t="str">
        <f>'III. Data Inputs-BE'!$B$34</f>
        <v>February</v>
      </c>
      <c r="C168" s="140">
        <f>'III. Data Inputs-BE'!$E$34</f>
        <v>28</v>
      </c>
      <c r="D168" s="452">
        <f>MIN(0.95, MAX(0.104,EXP(15175*(('III. Data Inputs-BE'!$C$34+273)-303.16)/(1.987*('III. Data Inputs-BE'!$C$34+273)*303.16))))</f>
        <v>0.104</v>
      </c>
      <c r="E168" s="300">
        <f t="shared" si="18"/>
        <v>0</v>
      </c>
      <c r="F168" s="148">
        <f>(E168*'III. Data Inputs-BE'!F71*'III. Data Inputs-BE'!$F$175*C168*0.8)+G168</f>
        <v>0</v>
      </c>
      <c r="G168" s="450">
        <f>IF('III. Data Inputs-BE'!$H$34=TRUE,0,IF('III. Data Inputs-BE'!$C$138="Yes",0,(F167-H167)*(1-INDEX('III. Data Inputs-BE'!$B$141:$D$154, MATCH('V. BE CH4,AS'!B167, 'III. Data Inputs-BE'!$B$141:$B$154,0), MATCH('V. BE CH4,AS'!$C$163,'III. Data Inputs-BE'!$B$141:$D$141,0)))))</f>
        <v>0</v>
      </c>
      <c r="H168" s="148">
        <f t="shared" ref="H168:H178" si="20">F168*D168</f>
        <v>0</v>
      </c>
      <c r="I168" s="148">
        <f>IF('III. Data Inputs-BE'!D34=0,0,H168*'III. Data Inputs-BE'!$C$110*0.68*0.001)*('III. Data Inputs-BE'!G34/'III. Data Inputs-BE'!E34)</f>
        <v>0</v>
      </c>
      <c r="J168" s="148">
        <f t="shared" si="19"/>
        <v>0</v>
      </c>
    </row>
    <row r="169" spans="1:94" x14ac:dyDescent="0.25">
      <c r="B169" s="292" t="str">
        <f>'III. Data Inputs-BE'!$B$35</f>
        <v>March</v>
      </c>
      <c r="C169" s="140">
        <f>'III. Data Inputs-BE'!$E$35</f>
        <v>31</v>
      </c>
      <c r="D169" s="452">
        <f>MIN(0.95, MAX(0.104,EXP(15175*(('III. Data Inputs-BE'!$C$35+273)-303.16)/(1.987*('III. Data Inputs-BE'!$C$35+273)*303.16))))</f>
        <v>0.104</v>
      </c>
      <c r="E169" s="300">
        <f t="shared" si="18"/>
        <v>0</v>
      </c>
      <c r="F169" s="148">
        <f>(E169*'III. Data Inputs-BE'!F72*'III. Data Inputs-BE'!$F$175*C169*0.8)+G169</f>
        <v>0</v>
      </c>
      <c r="G169" s="450">
        <f>IF('III. Data Inputs-BE'!$H$34=TRUE,0,IF('III. Data Inputs-BE'!$C$138="Yes",0,(F168-H168)*(1-INDEX('III. Data Inputs-BE'!$B$141:$D$154, MATCH('V. BE CH4,AS'!B168, 'III. Data Inputs-BE'!$B$141:$B$154,0), MATCH('V. BE CH4,AS'!$C$163,'III. Data Inputs-BE'!$B$141:$D$141,0)))))</f>
        <v>0</v>
      </c>
      <c r="H169" s="148">
        <f t="shared" si="20"/>
        <v>0</v>
      </c>
      <c r="I169" s="148">
        <f>IF('III. Data Inputs-BE'!D35=0,0,H169*'III. Data Inputs-BE'!$C$110*0.68*0.001)*('III. Data Inputs-BE'!G35/'III. Data Inputs-BE'!E35)</f>
        <v>0</v>
      </c>
      <c r="J169" s="148">
        <f t="shared" si="19"/>
        <v>0</v>
      </c>
    </row>
    <row r="170" spans="1:94" x14ac:dyDescent="0.25">
      <c r="B170" s="292" t="str">
        <f>'III. Data Inputs-BE'!$B$36</f>
        <v>April</v>
      </c>
      <c r="C170" s="140">
        <f>'III. Data Inputs-BE'!$E$36</f>
        <v>30</v>
      </c>
      <c r="D170" s="452">
        <f>MIN(0.95, MAX(0.104,EXP(15175*(('III. Data Inputs-BE'!$C$36+273)-303.16)/(1.987*('III. Data Inputs-BE'!$C$36+273)*303.16))))</f>
        <v>0.104</v>
      </c>
      <c r="E170" s="300">
        <f t="shared" si="18"/>
        <v>0</v>
      </c>
      <c r="F170" s="148">
        <f>(E170*'III. Data Inputs-BE'!F73*'III. Data Inputs-BE'!$F$175*C170*0.8)+G170</f>
        <v>0</v>
      </c>
      <c r="G170" s="450">
        <f>IF('III. Data Inputs-BE'!$H$34=TRUE,0,IF('III. Data Inputs-BE'!$C$138="Yes",0,(F169-H169)*(1-INDEX('III. Data Inputs-BE'!$B$141:$D$154, MATCH('V. BE CH4,AS'!B169, 'III. Data Inputs-BE'!$B$141:$B$154,0), MATCH('V. BE CH4,AS'!$C$163,'III. Data Inputs-BE'!$B$141:$D$141,0)))))</f>
        <v>0</v>
      </c>
      <c r="H170" s="148">
        <f t="shared" si="20"/>
        <v>0</v>
      </c>
      <c r="I170" s="148">
        <f>IF('III. Data Inputs-BE'!D36=0,0,H170*'III. Data Inputs-BE'!$C$110*0.68*0.001)*('III. Data Inputs-BE'!G36/'III. Data Inputs-BE'!E36)</f>
        <v>0</v>
      </c>
      <c r="J170" s="148">
        <f t="shared" si="19"/>
        <v>0</v>
      </c>
    </row>
    <row r="171" spans="1:94" x14ac:dyDescent="0.25">
      <c r="B171" s="292" t="str">
        <f>'III. Data Inputs-BE'!$B$37</f>
        <v>May</v>
      </c>
      <c r="C171" s="140">
        <f>'III. Data Inputs-BE'!$E$37</f>
        <v>31</v>
      </c>
      <c r="D171" s="452">
        <f>MIN(0.95, MAX(0.104,EXP(15175*(('III. Data Inputs-BE'!$C$37+273)-303.16)/(1.987*('III. Data Inputs-BE'!$C$37+273)*303.16))))</f>
        <v>0.104</v>
      </c>
      <c r="E171" s="300">
        <f t="shared" si="18"/>
        <v>0</v>
      </c>
      <c r="F171" s="148">
        <f>(E171*'III. Data Inputs-BE'!F74*'III. Data Inputs-BE'!$F$175*C171*0.8)+G171</f>
        <v>0</v>
      </c>
      <c r="G171" s="450">
        <f>IF('III. Data Inputs-BE'!$H$34=TRUE,0,IF('III. Data Inputs-BE'!$C$138="Yes",0,(F170-H170)*(1-INDEX('III. Data Inputs-BE'!$B$141:$D$154, MATCH('V. BE CH4,AS'!B170, 'III. Data Inputs-BE'!$B$141:$B$154,0), MATCH('V. BE CH4,AS'!$C$163,'III. Data Inputs-BE'!$B$141:$D$141,0)))))</f>
        <v>0</v>
      </c>
      <c r="H171" s="148">
        <f t="shared" si="20"/>
        <v>0</v>
      </c>
      <c r="I171" s="148">
        <f>IF('III. Data Inputs-BE'!D37=0,0,H171*'III. Data Inputs-BE'!$C$110*0.68*0.001)*('III. Data Inputs-BE'!G37/'III. Data Inputs-BE'!E37)</f>
        <v>0</v>
      </c>
      <c r="J171" s="148">
        <f t="shared" si="19"/>
        <v>0</v>
      </c>
    </row>
    <row r="172" spans="1:94" s="3" customFormat="1" ht="13" x14ac:dyDescent="0.3">
      <c r="B172" s="292" t="str">
        <f>'III. Data Inputs-BE'!$B$38</f>
        <v>June</v>
      </c>
      <c r="C172" s="140">
        <f>'III. Data Inputs-BE'!$E$38</f>
        <v>30</v>
      </c>
      <c r="D172" s="452">
        <f>MIN(0.95, MAX(0.104,EXP(15175*(('III. Data Inputs-BE'!$C$38+273)-303.16)/(1.987*('III. Data Inputs-BE'!$C$38+273)*303.16))))</f>
        <v>0.104</v>
      </c>
      <c r="E172" s="300">
        <f t="shared" si="18"/>
        <v>0</v>
      </c>
      <c r="F172" s="148">
        <f>(E172*'III. Data Inputs-BE'!F75*'III. Data Inputs-BE'!$F$175*C172*0.8)+G172</f>
        <v>0</v>
      </c>
      <c r="G172" s="450">
        <f>IF('III. Data Inputs-BE'!$H$34=TRUE,0,IF('III. Data Inputs-BE'!$C$138="Yes",0,(F171-H171)*(1-INDEX('III. Data Inputs-BE'!$B$141:$D$154, MATCH('V. BE CH4,AS'!B171, 'III. Data Inputs-BE'!$B$141:$B$154,0), MATCH('V. BE CH4,AS'!$C$163,'III. Data Inputs-BE'!$B$141:$D$141,0)))))</f>
        <v>0</v>
      </c>
      <c r="H172" s="148">
        <f t="shared" si="20"/>
        <v>0</v>
      </c>
      <c r="I172" s="148">
        <f>IF('III. Data Inputs-BE'!D38=0,0,H172*'III. Data Inputs-BE'!$C$110*0.68*0.001)*('III. Data Inputs-BE'!G38/'III. Data Inputs-BE'!E38)</f>
        <v>0</v>
      </c>
      <c r="J172" s="148">
        <f t="shared" si="19"/>
        <v>0</v>
      </c>
      <c r="K172" s="142"/>
      <c r="L172" s="142"/>
      <c r="M172" s="143"/>
      <c r="N172" s="143"/>
      <c r="O172" s="4"/>
      <c r="Q172" s="142"/>
    </row>
    <row r="173" spans="1:94" x14ac:dyDescent="0.25">
      <c r="B173" s="292" t="str">
        <f>'III. Data Inputs-BE'!$B$39</f>
        <v>July</v>
      </c>
      <c r="C173" s="140">
        <f>'III. Data Inputs-BE'!$E$39</f>
        <v>31</v>
      </c>
      <c r="D173" s="452">
        <f>MIN(0.95, MAX(0.104,EXP(15175*(('III. Data Inputs-BE'!$C$39+273)-303.16)/(1.987*('III. Data Inputs-BE'!$C$39+273)*303.16))))</f>
        <v>0.104</v>
      </c>
      <c r="E173" s="300">
        <f t="shared" si="18"/>
        <v>0</v>
      </c>
      <c r="F173" s="148">
        <f>(E173*'III. Data Inputs-BE'!F76*'III. Data Inputs-BE'!$F$175*C173*0.8)+G173</f>
        <v>0</v>
      </c>
      <c r="G173" s="450">
        <f>IF('III. Data Inputs-BE'!$H$34=TRUE,0,IF('III. Data Inputs-BE'!$C$138="Yes",0,(F172-H172)*(1-INDEX('III. Data Inputs-BE'!$B$141:$D$154, MATCH('V. BE CH4,AS'!B172, 'III. Data Inputs-BE'!$B$141:$B$154,0), MATCH('V. BE CH4,AS'!$C$163,'III. Data Inputs-BE'!$B$141:$D$141,0)))))</f>
        <v>0</v>
      </c>
      <c r="H173" s="148">
        <f t="shared" si="20"/>
        <v>0</v>
      </c>
      <c r="I173" s="148">
        <f>IF('III. Data Inputs-BE'!D39=0,0,H173*'III. Data Inputs-BE'!$C$110*0.68*0.001)*('III. Data Inputs-BE'!G39/'III. Data Inputs-BE'!E39)</f>
        <v>0</v>
      </c>
      <c r="J173" s="148">
        <f t="shared" si="19"/>
        <v>0</v>
      </c>
      <c r="K173" s="96"/>
      <c r="L173" s="96"/>
      <c r="M173" s="96"/>
      <c r="N173" s="144"/>
      <c r="O173" s="96"/>
      <c r="P173" s="144"/>
      <c r="Q173" s="144"/>
    </row>
    <row r="174" spans="1:94" ht="13" x14ac:dyDescent="0.3">
      <c r="B174" s="292" t="str">
        <f>'III. Data Inputs-BE'!$B$40</f>
        <v>August</v>
      </c>
      <c r="C174" s="140">
        <f>'III. Data Inputs-BE'!$E$40</f>
        <v>31</v>
      </c>
      <c r="D174" s="452">
        <f>MIN(0.95, MAX(0.104,EXP(15175*(('III. Data Inputs-BE'!$C$40+273)-303.16)/(1.987*('III. Data Inputs-BE'!$C$40+273)*303.16))))</f>
        <v>0.104</v>
      </c>
      <c r="E174" s="300">
        <f t="shared" si="18"/>
        <v>0</v>
      </c>
      <c r="F174" s="148">
        <f>(E174*'III. Data Inputs-BE'!F77*'III. Data Inputs-BE'!$F$175*C174*0.8)+G174</f>
        <v>0</v>
      </c>
      <c r="G174" s="450">
        <f>IF('III. Data Inputs-BE'!$H$34=TRUE,0,IF('III. Data Inputs-BE'!$C$138="Yes",0,(F173-H173)*(1-INDEX('III. Data Inputs-BE'!$B$141:$D$154, MATCH('V. BE CH4,AS'!B173, 'III. Data Inputs-BE'!$B$141:$B$154,0), MATCH('V. BE CH4,AS'!$C$163,'III. Data Inputs-BE'!$B$141:$D$141,0)))))</f>
        <v>0</v>
      </c>
      <c r="H174" s="148">
        <f t="shared" si="20"/>
        <v>0</v>
      </c>
      <c r="I174" s="148">
        <f>IF('III. Data Inputs-BE'!D40=0,0,H174*'III. Data Inputs-BE'!$C$110*0.68*0.001)*('III. Data Inputs-BE'!G40/'III. Data Inputs-BE'!E40)</f>
        <v>0</v>
      </c>
      <c r="J174" s="148">
        <f t="shared" si="19"/>
        <v>0</v>
      </c>
      <c r="K174" s="4"/>
      <c r="L174" s="4"/>
      <c r="M174" s="4"/>
      <c r="O174" s="46"/>
    </row>
    <row r="175" spans="1:94" ht="13" x14ac:dyDescent="0.3">
      <c r="B175" s="292" t="str">
        <f>'III. Data Inputs-BE'!$B$41</f>
        <v>September</v>
      </c>
      <c r="C175" s="140">
        <f>'III. Data Inputs-BE'!$E$41</f>
        <v>30</v>
      </c>
      <c r="D175" s="452">
        <f>MIN(0.95, MAX(0.104,EXP(15175*(('III. Data Inputs-BE'!$C$41+273)-303.16)/(1.987*('III. Data Inputs-BE'!$C$41+273)*303.16))))</f>
        <v>0.104</v>
      </c>
      <c r="E175" s="300">
        <f t="shared" si="18"/>
        <v>0</v>
      </c>
      <c r="F175" s="148">
        <f>(E175*'III. Data Inputs-BE'!F78*'III. Data Inputs-BE'!$F$175*C175*0.8)+G175</f>
        <v>0</v>
      </c>
      <c r="G175" s="450">
        <f>IF('III. Data Inputs-BE'!$H$34=TRUE,0,IF('III. Data Inputs-BE'!$C$138="Yes",0,(F174-H174)*(1-INDEX('III. Data Inputs-BE'!$B$141:$D$154, MATCH('V. BE CH4,AS'!B174, 'III. Data Inputs-BE'!$B$141:$B$154,0), MATCH('V. BE CH4,AS'!$C$163,'III. Data Inputs-BE'!$B$141:$D$141,0)))))</f>
        <v>0</v>
      </c>
      <c r="H175" s="148">
        <f t="shared" si="20"/>
        <v>0</v>
      </c>
      <c r="I175" s="148">
        <f>IF('III. Data Inputs-BE'!D41=0,0,H175*'III. Data Inputs-BE'!$C$110*0.68*0.001)*('III. Data Inputs-BE'!G41/'III. Data Inputs-BE'!E41)</f>
        <v>0</v>
      </c>
      <c r="J175" s="148">
        <f t="shared" si="19"/>
        <v>0</v>
      </c>
      <c r="K175" s="4"/>
      <c r="L175" s="4"/>
      <c r="M175" s="4"/>
      <c r="O175" s="46"/>
    </row>
    <row r="176" spans="1:94" ht="13" x14ac:dyDescent="0.3">
      <c r="B176" s="292" t="str">
        <f>'III. Data Inputs-BE'!$B$42</f>
        <v>October</v>
      </c>
      <c r="C176" s="140">
        <f>'III. Data Inputs-BE'!$E$42</f>
        <v>31</v>
      </c>
      <c r="D176" s="452">
        <f>MIN(0.95, MAX(0.104,EXP(15175*(('III. Data Inputs-BE'!$C$42+273)-303.16)/(1.987*('III. Data Inputs-BE'!$C$42+273)*303.16))))</f>
        <v>0.104</v>
      </c>
      <c r="E176" s="300">
        <f t="shared" si="18"/>
        <v>0</v>
      </c>
      <c r="F176" s="148">
        <f>(E176*'III. Data Inputs-BE'!F79*'III. Data Inputs-BE'!$F$175*C176*0.8)+G176</f>
        <v>0</v>
      </c>
      <c r="G176" s="450">
        <f>IF('III. Data Inputs-BE'!$H$34=TRUE,0,IF('III. Data Inputs-BE'!$C$138="Yes",0,(F175-H175)*(1-INDEX('III. Data Inputs-BE'!$B$141:$D$154, MATCH('V. BE CH4,AS'!B175, 'III. Data Inputs-BE'!$B$141:$B$154,0), MATCH('V. BE CH4,AS'!$C$163,'III. Data Inputs-BE'!$B$141:$D$141,0)))))</f>
        <v>0</v>
      </c>
      <c r="H176" s="148">
        <f t="shared" si="20"/>
        <v>0</v>
      </c>
      <c r="I176" s="148">
        <f>IF('III. Data Inputs-BE'!D42=0,0,H176*'III. Data Inputs-BE'!$C$110*0.68*0.001)*('III. Data Inputs-BE'!G42/'III. Data Inputs-BE'!E42)</f>
        <v>0</v>
      </c>
      <c r="J176" s="148">
        <f t="shared" si="19"/>
        <v>0</v>
      </c>
      <c r="K176" s="4"/>
      <c r="L176" s="4"/>
      <c r="M176" s="4"/>
      <c r="O176" s="46"/>
    </row>
    <row r="177" spans="2:18" x14ac:dyDescent="0.25">
      <c r="B177" s="292" t="str">
        <f>'III. Data Inputs-BE'!$B$43</f>
        <v>November</v>
      </c>
      <c r="C177" s="140">
        <f>'III. Data Inputs-BE'!$E$43</f>
        <v>30</v>
      </c>
      <c r="D177" s="452">
        <f>MIN(0.95, MAX(0.104,EXP(15175*(('III. Data Inputs-BE'!$C$43+273)-303.16)/(1.987*('III. Data Inputs-BE'!$C$43+273)*303.16))))</f>
        <v>0.104</v>
      </c>
      <c r="E177" s="300">
        <f t="shared" si="18"/>
        <v>0</v>
      </c>
      <c r="F177" s="148">
        <f>(E177*'III. Data Inputs-BE'!F80*'III. Data Inputs-BE'!$F$175*C177*0.8)+G177</f>
        <v>0</v>
      </c>
      <c r="G177" s="450">
        <f>IF('III. Data Inputs-BE'!$H$34=TRUE,0,IF('III. Data Inputs-BE'!$C$138="Yes",0,(F176-H176)*(1-INDEX('III. Data Inputs-BE'!$B$141:$D$154, MATCH('V. BE CH4,AS'!B176, 'III. Data Inputs-BE'!$B$141:$B$154,0), MATCH('V. BE CH4,AS'!$C$163,'III. Data Inputs-BE'!$B$141:$D$141,0)))))</f>
        <v>0</v>
      </c>
      <c r="H177" s="148">
        <f t="shared" si="20"/>
        <v>0</v>
      </c>
      <c r="I177" s="148">
        <f>IF('III. Data Inputs-BE'!D43=0,0,H177*'III. Data Inputs-BE'!$C$110*0.68*0.001)*('III. Data Inputs-BE'!G43/'III. Data Inputs-BE'!E43)</f>
        <v>0</v>
      </c>
      <c r="J177" s="148">
        <f t="shared" si="19"/>
        <v>0</v>
      </c>
      <c r="K177" s="36"/>
      <c r="L177" s="36"/>
      <c r="M177" s="36"/>
    </row>
    <row r="178" spans="2:18" x14ac:dyDescent="0.25">
      <c r="B178" s="528" t="str">
        <f>'III. Data Inputs-BE'!$B$44</f>
        <v>December</v>
      </c>
      <c r="C178" s="464">
        <f>'III. Data Inputs-BE'!$E$44</f>
        <v>31</v>
      </c>
      <c r="D178" s="452">
        <f>MIN(0.95, MAX(0.104,EXP(15175*(('III. Data Inputs-BE'!$C$44+273)-303.16)/(1.987*('III. Data Inputs-BE'!$C$44+273)*303.16))))</f>
        <v>0.104</v>
      </c>
      <c r="E178" s="466">
        <f t="shared" si="18"/>
        <v>0</v>
      </c>
      <c r="F178" s="465">
        <f>(E178*'III. Data Inputs-BE'!F81*'III. Data Inputs-BE'!$F$175*C178*0.8)+G178</f>
        <v>0</v>
      </c>
      <c r="G178" s="467">
        <f>IF('III. Data Inputs-BE'!$H$34=TRUE,0,IF('III. Data Inputs-BE'!$C$138="Yes",0,(F177-H177)*(1-INDEX('III. Data Inputs-BE'!$B$141:$D$154, MATCH('V. BE CH4,AS'!B177, 'III. Data Inputs-BE'!$B$141:$B$154,0), MATCH('V. BE CH4,AS'!$C$163,'III. Data Inputs-BE'!$B$141:$D$141,0)))))</f>
        <v>0</v>
      </c>
      <c r="H178" s="148">
        <f t="shared" si="20"/>
        <v>0</v>
      </c>
      <c r="I178" s="148">
        <f>IF('III. Data Inputs-BE'!D44=0,0,H178*'III. Data Inputs-BE'!$C$110*0.68*0.001)*('III. Data Inputs-BE'!G44/'III. Data Inputs-BE'!E44)</f>
        <v>0</v>
      </c>
      <c r="J178" s="148">
        <f t="shared" si="19"/>
        <v>0</v>
      </c>
      <c r="K178" s="96"/>
      <c r="L178" s="96"/>
      <c r="O178" s="46"/>
      <c r="P178" s="27"/>
    </row>
    <row r="179" spans="2:18" ht="13" x14ac:dyDescent="0.3">
      <c r="B179" s="525" t="s">
        <v>392</v>
      </c>
      <c r="C179" s="468"/>
      <c r="D179" s="456"/>
      <c r="E179" s="456"/>
      <c r="F179" s="469"/>
      <c r="G179" s="470"/>
      <c r="H179" s="471">
        <f>SUM(H167:H178)</f>
        <v>0</v>
      </c>
      <c r="I179" s="462">
        <f>SUM(I167:I178)</f>
        <v>0</v>
      </c>
      <c r="J179" s="462">
        <f>SUM(J167:J178)</f>
        <v>0</v>
      </c>
      <c r="N179" s="3"/>
      <c r="O179" s="46"/>
    </row>
    <row r="180" spans="2:18" ht="13" x14ac:dyDescent="0.3">
      <c r="B180" s="517"/>
      <c r="C180" s="3"/>
      <c r="D180" s="57"/>
      <c r="E180" s="57"/>
      <c r="F180" s="58"/>
      <c r="G180" s="58"/>
      <c r="H180" s="58"/>
      <c r="I180" s="58"/>
      <c r="J180" s="58"/>
      <c r="N180" s="3"/>
      <c r="O180" s="46"/>
    </row>
    <row r="181" spans="2:18" ht="13" x14ac:dyDescent="0.3">
      <c r="B181" s="526" t="s">
        <v>393</v>
      </c>
      <c r="C181" s="428"/>
      <c r="D181" s="460"/>
      <c r="E181" s="460"/>
      <c r="F181" s="461"/>
      <c r="G181" s="472">
        <f>F178-H178</f>
        <v>0</v>
      </c>
      <c r="H181" s="58"/>
      <c r="I181" s="58"/>
      <c r="J181" s="58"/>
      <c r="N181" s="3"/>
      <c r="O181" s="46"/>
    </row>
    <row r="182" spans="2:18" ht="62.5" x14ac:dyDescent="0.3">
      <c r="G182" s="459" t="s">
        <v>394</v>
      </c>
      <c r="H182" s="58"/>
      <c r="I182" s="58"/>
      <c r="J182" s="58"/>
      <c r="N182" s="3"/>
      <c r="O182" s="46"/>
    </row>
    <row r="183" spans="2:18" ht="13" x14ac:dyDescent="0.25">
      <c r="B183" s="517"/>
      <c r="C183" s="46"/>
    </row>
    <row r="184" spans="2:18" ht="13" x14ac:dyDescent="0.25">
      <c r="B184" s="517"/>
      <c r="C184" s="46"/>
    </row>
    <row r="185" spans="2:18" ht="13" x14ac:dyDescent="0.25">
      <c r="B185" s="517"/>
      <c r="C185" s="46"/>
      <c r="E185" s="549" t="s">
        <v>229</v>
      </c>
      <c r="F185" s="554"/>
      <c r="G185" s="554"/>
      <c r="H185" s="554"/>
      <c r="I185" s="554"/>
      <c r="J185" s="554"/>
    </row>
    <row r="186" spans="2:18" ht="13" x14ac:dyDescent="0.25">
      <c r="B186" s="517"/>
      <c r="C186" s="46"/>
      <c r="E186" s="554"/>
      <c r="F186" s="554"/>
      <c r="G186" s="554"/>
      <c r="H186" s="554"/>
      <c r="I186" s="554"/>
      <c r="J186" s="554"/>
    </row>
    <row r="187" spans="2:18" ht="13" x14ac:dyDescent="0.3">
      <c r="B187" s="395" t="str">
        <f>B163</f>
        <v>Population 4</v>
      </c>
      <c r="C187" s="453">
        <f>'III. Data Inputs-BE'!B122</f>
        <v>0</v>
      </c>
      <c r="D187" s="138"/>
      <c r="E187" s="554"/>
      <c r="F187" s="554"/>
      <c r="G187" s="554"/>
      <c r="H187" s="554"/>
      <c r="I187" s="554"/>
      <c r="J187" s="554"/>
    </row>
    <row r="188" spans="2:18" ht="15" x14ac:dyDescent="0.3">
      <c r="B188" s="524" t="s">
        <v>383</v>
      </c>
      <c r="C188" s="454">
        <f>C164</f>
        <v>0</v>
      </c>
      <c r="E188" s="58"/>
      <c r="F188" s="57"/>
      <c r="G188" s="57"/>
      <c r="H188" s="57"/>
      <c r="I188" s="57"/>
      <c r="J188" s="57"/>
    </row>
    <row r="189" spans="2:18" ht="13" x14ac:dyDescent="0.3">
      <c r="B189" s="524"/>
      <c r="C189" s="128"/>
      <c r="E189" s="58"/>
      <c r="F189" s="57"/>
      <c r="G189" s="57"/>
      <c r="H189" s="57"/>
      <c r="I189" s="57"/>
      <c r="J189" s="57"/>
    </row>
    <row r="190" spans="2:18" ht="29" x14ac:dyDescent="0.4">
      <c r="B190" s="369" t="s">
        <v>195</v>
      </c>
      <c r="C190" s="128" t="s">
        <v>384</v>
      </c>
      <c r="D190" s="447" t="s">
        <v>385</v>
      </c>
      <c r="E190" s="448" t="s">
        <v>386</v>
      </c>
      <c r="F190" s="435" t="s">
        <v>387</v>
      </c>
      <c r="G190" s="448" t="s">
        <v>388</v>
      </c>
      <c r="H190" s="435" t="s">
        <v>389</v>
      </c>
      <c r="I190" s="435" t="s">
        <v>390</v>
      </c>
      <c r="J190" s="435" t="s">
        <v>391</v>
      </c>
    </row>
    <row r="191" spans="2:18" ht="13" x14ac:dyDescent="0.3">
      <c r="B191" s="292" t="str">
        <f>'III. Data Inputs-BE'!$B$33</f>
        <v>January</v>
      </c>
      <c r="C191" s="140">
        <f>'III. Data Inputs-BE'!$E$33</f>
        <v>31</v>
      </c>
      <c r="D191" s="452">
        <f>MIN(0.95, MAX(0.104,EXP(15175*(('III. Data Inputs-BE'!$C$33+273)-303.16)/(1.987*('III. Data Inputs-BE'!$C$33+273)*303.16))))</f>
        <v>0.104</v>
      </c>
      <c r="E191" s="300">
        <f t="shared" ref="E191:E202" si="21">$C$188</f>
        <v>0</v>
      </c>
      <c r="F191" s="148">
        <f>(E191*'III. Data Inputs-BE'!F70*'III. Data Inputs-BE'!$F$176*C191*0.8)+G191</f>
        <v>0</v>
      </c>
      <c r="G191" s="449">
        <v>0</v>
      </c>
      <c r="H191" s="148">
        <f>F191*D191</f>
        <v>0</v>
      </c>
      <c r="I191" s="148">
        <f>IF('III. Data Inputs-BE'!D33=0,0,H191*'III. Data Inputs-BE'!$C$110*0.68*0.001)*('III. Data Inputs-BE'!G33/'III. Data Inputs-BE'!E33)</f>
        <v>0</v>
      </c>
      <c r="J191" s="148">
        <f t="shared" ref="J191:J202" si="22">I191*gwp_ch4</f>
        <v>0</v>
      </c>
      <c r="K191" s="4"/>
      <c r="L191" s="4"/>
      <c r="M191" s="4"/>
      <c r="O191" s="4"/>
      <c r="P191" s="36"/>
      <c r="Q191" s="36"/>
      <c r="R191" s="36"/>
    </row>
    <row r="192" spans="2:18" ht="13" x14ac:dyDescent="0.3">
      <c r="B192" s="292" t="str">
        <f>'III. Data Inputs-BE'!$B$34</f>
        <v>February</v>
      </c>
      <c r="C192" s="140">
        <f>'III. Data Inputs-BE'!$E$34</f>
        <v>28</v>
      </c>
      <c r="D192" s="452">
        <f>MIN(0.95, MAX(0.104,EXP(15175*(('III. Data Inputs-BE'!$C$34+273)-303.16)/(1.987*('III. Data Inputs-BE'!$C$34+273)*303.16))))</f>
        <v>0.104</v>
      </c>
      <c r="E192" s="300">
        <f t="shared" si="21"/>
        <v>0</v>
      </c>
      <c r="F192" s="148">
        <f>(E192*'III. Data Inputs-BE'!F71*'III. Data Inputs-BE'!$F$176*C192*0.8)+G192</f>
        <v>0</v>
      </c>
      <c r="G192" s="450">
        <f>IF('III. Data Inputs-BE'!$H$34=TRUE,0,IF('III. Data Inputs-BE'!$C$138="Yes",0,(F191-H191)*(1-INDEX('III. Data Inputs-BE'!$B$141:$D$154, MATCH('V. BE CH4,AS'!B191, 'III. Data Inputs-BE'!$B$141:$B$154,0), MATCH('V. BE CH4,AS'!$C$187,'III. Data Inputs-BE'!$B$141:$D$141,0)))))</f>
        <v>0</v>
      </c>
      <c r="H192" s="148">
        <f t="shared" ref="H192:H202" si="23">F192*D192</f>
        <v>0</v>
      </c>
      <c r="I192" s="148">
        <f>IF('III. Data Inputs-BE'!D34=0,0,H192*'III. Data Inputs-BE'!$C$110*0.68*0.001)*('III. Data Inputs-BE'!G34/'III. Data Inputs-BE'!E34)</f>
        <v>0</v>
      </c>
      <c r="J192" s="148">
        <f t="shared" si="22"/>
        <v>0</v>
      </c>
      <c r="K192" s="4"/>
      <c r="L192" s="4"/>
      <c r="M192" s="4"/>
      <c r="O192" s="4"/>
      <c r="P192" s="36"/>
      <c r="Q192" s="36"/>
      <c r="R192" s="36"/>
    </row>
    <row r="193" spans="2:18" ht="13" x14ac:dyDescent="0.3">
      <c r="B193" s="292" t="str">
        <f>'III. Data Inputs-BE'!$B$35</f>
        <v>March</v>
      </c>
      <c r="C193" s="140">
        <f>'III. Data Inputs-BE'!$E$35</f>
        <v>31</v>
      </c>
      <c r="D193" s="452">
        <f>MIN(0.95, MAX(0.104,EXP(15175*(('III. Data Inputs-BE'!$C$35+273)-303.16)/(1.987*('III. Data Inputs-BE'!$C$35+273)*303.16))))</f>
        <v>0.104</v>
      </c>
      <c r="E193" s="300">
        <f t="shared" si="21"/>
        <v>0</v>
      </c>
      <c r="F193" s="148">
        <f>(E193*'III. Data Inputs-BE'!F72*'III. Data Inputs-BE'!$F$176*C193*0.8)+G193</f>
        <v>0</v>
      </c>
      <c r="G193" s="450">
        <f>IF('III. Data Inputs-BE'!$H$34=TRUE,0,IF('III. Data Inputs-BE'!$C$138="Yes",0,(F192-H192)*(1-INDEX('III. Data Inputs-BE'!$B$141:$D$154, MATCH('V. BE CH4,AS'!B192, 'III. Data Inputs-BE'!$B$141:$B$154,0), MATCH('V. BE CH4,AS'!$C$187,'III. Data Inputs-BE'!$B$141:$D$141,0)))))</f>
        <v>0</v>
      </c>
      <c r="H193" s="148">
        <f t="shared" si="23"/>
        <v>0</v>
      </c>
      <c r="I193" s="148">
        <f>IF('III. Data Inputs-BE'!D35=0,0,H193*'III. Data Inputs-BE'!$C$110*0.68*0.001)*('III. Data Inputs-BE'!G35/'III. Data Inputs-BE'!E35)</f>
        <v>0</v>
      </c>
      <c r="J193" s="148">
        <f t="shared" si="22"/>
        <v>0</v>
      </c>
      <c r="K193" s="4"/>
      <c r="L193" s="4"/>
      <c r="M193" s="4"/>
      <c r="O193" s="4"/>
      <c r="P193" s="36"/>
      <c r="Q193" s="36"/>
      <c r="R193" s="36"/>
    </row>
    <row r="194" spans="2:18" x14ac:dyDescent="0.25">
      <c r="B194" s="292" t="str">
        <f>'III. Data Inputs-BE'!$B$36</f>
        <v>April</v>
      </c>
      <c r="C194" s="140">
        <f>'III. Data Inputs-BE'!$E$36</f>
        <v>30</v>
      </c>
      <c r="D194" s="452">
        <f>MIN(0.95, MAX(0.104,EXP(15175*(('III. Data Inputs-BE'!$C$36+273)-303.16)/(1.987*('III. Data Inputs-BE'!$C$36+273)*303.16))))</f>
        <v>0.104</v>
      </c>
      <c r="E194" s="300">
        <f t="shared" si="21"/>
        <v>0</v>
      </c>
      <c r="F194" s="148">
        <f>(E194*'III. Data Inputs-BE'!F73*'III. Data Inputs-BE'!$F$176*C194*0.8)+G194</f>
        <v>0</v>
      </c>
      <c r="G194" s="450">
        <f>IF('III. Data Inputs-BE'!$H$34=TRUE,0,IF('III. Data Inputs-BE'!$C$138="Yes",0,(F193-H193)*(1-INDEX('III. Data Inputs-BE'!$B$141:$D$154, MATCH('V. BE CH4,AS'!B193, 'III. Data Inputs-BE'!$B$141:$B$154,0), MATCH('V. BE CH4,AS'!$C$187,'III. Data Inputs-BE'!$B$141:$D$141,0)))))</f>
        <v>0</v>
      </c>
      <c r="H194" s="148">
        <f t="shared" si="23"/>
        <v>0</v>
      </c>
      <c r="I194" s="148">
        <f>IF('III. Data Inputs-BE'!D36=0,0,H194*'III. Data Inputs-BE'!$C$110*0.68*0.001)*('III. Data Inputs-BE'!G36/'III. Data Inputs-BE'!E36)</f>
        <v>0</v>
      </c>
      <c r="J194" s="148">
        <f t="shared" si="22"/>
        <v>0</v>
      </c>
      <c r="K194" s="36"/>
      <c r="L194" s="36"/>
      <c r="M194" s="36"/>
    </row>
    <row r="195" spans="2:18" x14ac:dyDescent="0.25">
      <c r="B195" s="292" t="str">
        <f>'III. Data Inputs-BE'!$B$37</f>
        <v>May</v>
      </c>
      <c r="C195" s="140">
        <f>'III. Data Inputs-BE'!$E$37</f>
        <v>31</v>
      </c>
      <c r="D195" s="452">
        <f>MIN(0.95, MAX(0.104,EXP(15175*(('III. Data Inputs-BE'!$C$37+273)-303.16)/(1.987*('III. Data Inputs-BE'!$C$37+273)*303.16))))</f>
        <v>0.104</v>
      </c>
      <c r="E195" s="300">
        <f t="shared" si="21"/>
        <v>0</v>
      </c>
      <c r="F195" s="148">
        <f>(E195*'III. Data Inputs-BE'!F74*'III. Data Inputs-BE'!$F$176*C195*0.8)+G195</f>
        <v>0</v>
      </c>
      <c r="G195" s="450">
        <f>IF('III. Data Inputs-BE'!$H$34=TRUE,0,IF('III. Data Inputs-BE'!$C$138="Yes",0,(F194-H194)*(1-INDEX('III. Data Inputs-BE'!$B$141:$D$154, MATCH('V. BE CH4,AS'!B194, 'III. Data Inputs-BE'!$B$141:$B$154,0), MATCH('V. BE CH4,AS'!$C$187,'III. Data Inputs-BE'!$B$141:$D$141,0)))))</f>
        <v>0</v>
      </c>
      <c r="H195" s="148">
        <f t="shared" si="23"/>
        <v>0</v>
      </c>
      <c r="I195" s="148">
        <f>IF('III. Data Inputs-BE'!D37=0,0,H195*'III. Data Inputs-BE'!$C$110*0.68*0.001)*('III. Data Inputs-BE'!G37/'III. Data Inputs-BE'!E37)</f>
        <v>0</v>
      </c>
      <c r="J195" s="148">
        <f t="shared" si="22"/>
        <v>0</v>
      </c>
      <c r="K195" s="96"/>
      <c r="L195" s="96"/>
    </row>
    <row r="196" spans="2:18" x14ac:dyDescent="0.25">
      <c r="B196" s="292" t="str">
        <f>'III. Data Inputs-BE'!$B$38</f>
        <v>June</v>
      </c>
      <c r="C196" s="140">
        <f>'III. Data Inputs-BE'!$E$38</f>
        <v>30</v>
      </c>
      <c r="D196" s="452">
        <f>MIN(0.95, MAX(0.104,EXP(15175*(('III. Data Inputs-BE'!$C$38+273)-303.16)/(1.987*('III. Data Inputs-BE'!$C$38+273)*303.16))))</f>
        <v>0.104</v>
      </c>
      <c r="E196" s="300">
        <f t="shared" si="21"/>
        <v>0</v>
      </c>
      <c r="F196" s="148">
        <f>(E196*'III. Data Inputs-BE'!F75*'III. Data Inputs-BE'!$F$176*C196*0.8)+G196</f>
        <v>0</v>
      </c>
      <c r="G196" s="450">
        <f>IF('III. Data Inputs-BE'!$H$34=TRUE,0,IF('III. Data Inputs-BE'!$C$138="Yes",0,(F195-H195)*(1-INDEX('III. Data Inputs-BE'!$B$141:$D$154, MATCH('V. BE CH4,AS'!B195, 'III. Data Inputs-BE'!$B$141:$B$154,0), MATCH('V. BE CH4,AS'!$C$187,'III. Data Inputs-BE'!$B$141:$D$141,0)))))</f>
        <v>0</v>
      </c>
      <c r="H196" s="148">
        <f t="shared" si="23"/>
        <v>0</v>
      </c>
      <c r="I196" s="148">
        <f>IF('III. Data Inputs-BE'!D38=0,0,H196*'III. Data Inputs-BE'!$C$110*0.68*0.001)*('III. Data Inputs-BE'!G38/'III. Data Inputs-BE'!E38)</f>
        <v>0</v>
      </c>
      <c r="J196" s="148">
        <f t="shared" si="22"/>
        <v>0</v>
      </c>
    </row>
    <row r="197" spans="2:18" x14ac:dyDescent="0.25">
      <c r="B197" s="292" t="str">
        <f>'III. Data Inputs-BE'!$B$39</f>
        <v>July</v>
      </c>
      <c r="C197" s="140">
        <f>'III. Data Inputs-BE'!$E$39</f>
        <v>31</v>
      </c>
      <c r="D197" s="452">
        <f>MIN(0.95, MAX(0.104,EXP(15175*(('III. Data Inputs-BE'!$C$39+273)-303.16)/(1.987*('III. Data Inputs-BE'!$C$39+273)*303.16))))</f>
        <v>0.104</v>
      </c>
      <c r="E197" s="300">
        <f t="shared" si="21"/>
        <v>0</v>
      </c>
      <c r="F197" s="148">
        <f>(E197*'III. Data Inputs-BE'!F76*'III. Data Inputs-BE'!$F$176*C197*0.8)+G197</f>
        <v>0</v>
      </c>
      <c r="G197" s="450">
        <f>IF('III. Data Inputs-BE'!$H$34=TRUE,0,IF('III. Data Inputs-BE'!$C$138="Yes",0,(F196-H196)*(1-INDEX('III. Data Inputs-BE'!$B$141:$D$154, MATCH('V. BE CH4,AS'!B196, 'III. Data Inputs-BE'!$B$141:$B$154,0), MATCH('V. BE CH4,AS'!$C$187,'III. Data Inputs-BE'!$B$141:$D$141,0)))))</f>
        <v>0</v>
      </c>
      <c r="H197" s="148">
        <f t="shared" si="23"/>
        <v>0</v>
      </c>
      <c r="I197" s="148">
        <f>IF('III. Data Inputs-BE'!D39=0,0,H197*'III. Data Inputs-BE'!$C$110*0.68*0.001)*('III. Data Inputs-BE'!G39/'III. Data Inputs-BE'!E39)</f>
        <v>0</v>
      </c>
      <c r="J197" s="148">
        <f t="shared" si="22"/>
        <v>0</v>
      </c>
    </row>
    <row r="198" spans="2:18" x14ac:dyDescent="0.25">
      <c r="B198" s="292" t="str">
        <f>'III. Data Inputs-BE'!$B$40</f>
        <v>August</v>
      </c>
      <c r="C198" s="140">
        <f>'III. Data Inputs-BE'!$E$40</f>
        <v>31</v>
      </c>
      <c r="D198" s="452">
        <f>MIN(0.95, MAX(0.104,EXP(15175*(('III. Data Inputs-BE'!$C$40+273)-303.16)/(1.987*('III. Data Inputs-BE'!$C$40+273)*303.16))))</f>
        <v>0.104</v>
      </c>
      <c r="E198" s="300">
        <f t="shared" si="21"/>
        <v>0</v>
      </c>
      <c r="F198" s="148">
        <f>(E198*'III. Data Inputs-BE'!F77*'III. Data Inputs-BE'!$F$176*C198*0.8)+G198</f>
        <v>0</v>
      </c>
      <c r="G198" s="450">
        <f>IF('III. Data Inputs-BE'!$H$34=TRUE,0,IF('III. Data Inputs-BE'!$C$138="Yes",0,(F197-H197)*(1-INDEX('III. Data Inputs-BE'!$B$141:$D$154, MATCH('V. BE CH4,AS'!B197, 'III. Data Inputs-BE'!$B$141:$B$154,0), MATCH('V. BE CH4,AS'!$C$187,'III. Data Inputs-BE'!$B$141:$D$141,0)))))</f>
        <v>0</v>
      </c>
      <c r="H198" s="148">
        <f t="shared" si="23"/>
        <v>0</v>
      </c>
      <c r="I198" s="148">
        <f>IF('III. Data Inputs-BE'!D40=0,0,H198*'III. Data Inputs-BE'!$C$110*0.68*0.001)*('III. Data Inputs-BE'!G40/'III. Data Inputs-BE'!E40)</f>
        <v>0</v>
      </c>
      <c r="J198" s="148">
        <f t="shared" si="22"/>
        <v>0</v>
      </c>
    </row>
    <row r="199" spans="2:18" x14ac:dyDescent="0.25">
      <c r="B199" s="292" t="str">
        <f>'III. Data Inputs-BE'!$B$41</f>
        <v>September</v>
      </c>
      <c r="C199" s="140">
        <f>'III. Data Inputs-BE'!$E$41</f>
        <v>30</v>
      </c>
      <c r="D199" s="452">
        <f>MIN(0.95, MAX(0.104,EXP(15175*(('III. Data Inputs-BE'!$C$41+273)-303.16)/(1.987*('III. Data Inputs-BE'!$C$41+273)*303.16))))</f>
        <v>0.104</v>
      </c>
      <c r="E199" s="300">
        <f t="shared" si="21"/>
        <v>0</v>
      </c>
      <c r="F199" s="148">
        <f>(E199*'III. Data Inputs-BE'!F78*'III. Data Inputs-BE'!$F$176*C199*0.8)+G199</f>
        <v>0</v>
      </c>
      <c r="G199" s="450">
        <f>IF('III. Data Inputs-BE'!$H$34=TRUE,0,IF('III. Data Inputs-BE'!$C$138="Yes",0,(F198-H198)*(1-INDEX('III. Data Inputs-BE'!$B$141:$D$154, MATCH('V. BE CH4,AS'!B198, 'III. Data Inputs-BE'!$B$141:$B$154,0), MATCH('V. BE CH4,AS'!$C$187,'III. Data Inputs-BE'!$B$141:$D$141,0)))))</f>
        <v>0</v>
      </c>
      <c r="H199" s="148">
        <f t="shared" si="23"/>
        <v>0</v>
      </c>
      <c r="I199" s="148">
        <f>IF('III. Data Inputs-BE'!D41=0,0,H199*'III. Data Inputs-BE'!$C$110*0.68*0.001)*('III. Data Inputs-BE'!G41/'III. Data Inputs-BE'!E41)</f>
        <v>0</v>
      </c>
      <c r="J199" s="148">
        <f t="shared" si="22"/>
        <v>0</v>
      </c>
    </row>
    <row r="200" spans="2:18" x14ac:dyDescent="0.25">
      <c r="B200" s="292" t="str">
        <f>'III. Data Inputs-BE'!$B$42</f>
        <v>October</v>
      </c>
      <c r="C200" s="140">
        <f>'III. Data Inputs-BE'!$E$42</f>
        <v>31</v>
      </c>
      <c r="D200" s="452">
        <f>MIN(0.95, MAX(0.104,EXP(15175*(('III. Data Inputs-BE'!$C$42+273)-303.16)/(1.987*('III. Data Inputs-BE'!$C$42+273)*303.16))))</f>
        <v>0.104</v>
      </c>
      <c r="E200" s="300">
        <f t="shared" si="21"/>
        <v>0</v>
      </c>
      <c r="F200" s="148">
        <f>(E200*'III. Data Inputs-BE'!F79*'III. Data Inputs-BE'!$F$176*C200*0.8)+G200</f>
        <v>0</v>
      </c>
      <c r="G200" s="450">
        <f>IF('III. Data Inputs-BE'!$H$34=TRUE,0,IF('III. Data Inputs-BE'!$C$138="Yes",0,(F199-H199)*(1-INDEX('III. Data Inputs-BE'!$B$141:$D$154, MATCH('V. BE CH4,AS'!B199, 'III. Data Inputs-BE'!$B$141:$B$154,0), MATCH('V. BE CH4,AS'!$C$187,'III. Data Inputs-BE'!$B$141:$D$141,0)))))</f>
        <v>0</v>
      </c>
      <c r="H200" s="148">
        <f t="shared" si="23"/>
        <v>0</v>
      </c>
      <c r="I200" s="148">
        <f>IF('III. Data Inputs-BE'!D42=0,0,H200*'III. Data Inputs-BE'!$C$110*0.68*0.001)*('III. Data Inputs-BE'!G42/'III. Data Inputs-BE'!E42)</f>
        <v>0</v>
      </c>
      <c r="J200" s="148">
        <f t="shared" si="22"/>
        <v>0</v>
      </c>
    </row>
    <row r="201" spans="2:18" x14ac:dyDescent="0.25">
      <c r="B201" s="292" t="str">
        <f>'III. Data Inputs-BE'!$B$43</f>
        <v>November</v>
      </c>
      <c r="C201" s="140">
        <f>'III. Data Inputs-BE'!$E$43</f>
        <v>30</v>
      </c>
      <c r="D201" s="452">
        <f>MIN(0.95, MAX(0.104,EXP(15175*(('III. Data Inputs-BE'!$C$43+273)-303.16)/(1.987*('III. Data Inputs-BE'!$C$43+273)*303.16))))</f>
        <v>0.104</v>
      </c>
      <c r="E201" s="300">
        <f t="shared" si="21"/>
        <v>0</v>
      </c>
      <c r="F201" s="148">
        <f>(E201*'III. Data Inputs-BE'!F80*'III. Data Inputs-BE'!$F$176*C201*0.8)+G201</f>
        <v>0</v>
      </c>
      <c r="G201" s="450">
        <f>IF('III. Data Inputs-BE'!$H$34=TRUE,0,IF('III. Data Inputs-BE'!$C$138="Yes",0,(F200-H200)*(1-INDEX('III. Data Inputs-BE'!$B$141:$D$154, MATCH('V. BE CH4,AS'!B200, 'III. Data Inputs-BE'!$B$141:$B$154,0), MATCH('V. BE CH4,AS'!$C$187,'III. Data Inputs-BE'!$B$141:$D$141,0)))))</f>
        <v>0</v>
      </c>
      <c r="H201" s="148">
        <f t="shared" si="23"/>
        <v>0</v>
      </c>
      <c r="I201" s="148">
        <f>IF('III. Data Inputs-BE'!D43=0,0,H201*'III. Data Inputs-BE'!$C$110*0.68*0.001)*('III. Data Inputs-BE'!G43/'III. Data Inputs-BE'!E43)</f>
        <v>0</v>
      </c>
      <c r="J201" s="148">
        <f t="shared" si="22"/>
        <v>0</v>
      </c>
    </row>
    <row r="202" spans="2:18" x14ac:dyDescent="0.25">
      <c r="B202" s="528" t="str">
        <f>'III. Data Inputs-BE'!$B$44</f>
        <v>December</v>
      </c>
      <c r="C202" s="464">
        <f>'III. Data Inputs-BE'!$E$44</f>
        <v>31</v>
      </c>
      <c r="D202" s="452">
        <f>MIN(0.95, MAX(0.104,EXP(15175*(('III. Data Inputs-BE'!$C$44+273)-303.16)/(1.987*('III. Data Inputs-BE'!$C$44+273)*303.16))))</f>
        <v>0.104</v>
      </c>
      <c r="E202" s="466">
        <f t="shared" si="21"/>
        <v>0</v>
      </c>
      <c r="F202" s="465">
        <f>(E202*'III. Data Inputs-BE'!F81*'III. Data Inputs-BE'!$F$176*C202*0.8)+G202</f>
        <v>0</v>
      </c>
      <c r="G202" s="467">
        <f>IF('III. Data Inputs-BE'!$H$34=TRUE,0,IF('III. Data Inputs-BE'!$C$138="Yes",0,(F201-H201)*(1-INDEX('III. Data Inputs-BE'!$B$141:$D$154, MATCH('V. BE CH4,AS'!B201, 'III. Data Inputs-BE'!$B$141:$B$154,0), MATCH('V. BE CH4,AS'!$C$187,'III. Data Inputs-BE'!$B$141:$D$141,0)))))</f>
        <v>0</v>
      </c>
      <c r="H202" s="148">
        <f t="shared" si="23"/>
        <v>0</v>
      </c>
      <c r="I202" s="148">
        <f>IF('III. Data Inputs-BE'!D44=0,0,H202*'III. Data Inputs-BE'!$C$110*0.68*0.001)*('III. Data Inputs-BE'!G44/'III. Data Inputs-BE'!E44)</f>
        <v>0</v>
      </c>
      <c r="J202" s="148">
        <f t="shared" si="22"/>
        <v>0</v>
      </c>
    </row>
    <row r="203" spans="2:18" ht="13" x14ac:dyDescent="0.3">
      <c r="B203" s="525" t="s">
        <v>392</v>
      </c>
      <c r="C203" s="468"/>
      <c r="D203" s="456"/>
      <c r="E203" s="456"/>
      <c r="F203" s="469"/>
      <c r="G203" s="470"/>
      <c r="H203" s="471">
        <f>SUM(H191:H202)</f>
        <v>0</v>
      </c>
      <c r="I203" s="462">
        <f>SUM(I191:I202)</f>
        <v>0</v>
      </c>
      <c r="J203" s="462">
        <f>SUM(J191:J202)</f>
        <v>0</v>
      </c>
    </row>
    <row r="204" spans="2:18" ht="13" x14ac:dyDescent="0.3">
      <c r="B204" s="517"/>
      <c r="C204" s="3"/>
      <c r="D204" s="57"/>
      <c r="E204" s="57"/>
      <c r="F204" s="58"/>
      <c r="G204" s="58"/>
      <c r="H204" s="58"/>
      <c r="I204" s="58"/>
      <c r="J204" s="58"/>
    </row>
    <row r="205" spans="2:18" ht="13" x14ac:dyDescent="0.3">
      <c r="B205" s="526" t="s">
        <v>393</v>
      </c>
      <c r="C205" s="428"/>
      <c r="D205" s="460"/>
      <c r="E205" s="460"/>
      <c r="F205" s="461"/>
      <c r="G205" s="472">
        <f>F202-H202</f>
        <v>0</v>
      </c>
      <c r="H205" s="58"/>
      <c r="I205" s="58"/>
      <c r="J205" s="58"/>
    </row>
    <row r="206" spans="2:18" ht="62.5" x14ac:dyDescent="0.3">
      <c r="G206" s="459" t="s">
        <v>394</v>
      </c>
      <c r="H206" s="58"/>
      <c r="I206" s="58"/>
      <c r="J206" s="58"/>
    </row>
    <row r="207" spans="2:18" ht="13" x14ac:dyDescent="0.25">
      <c r="B207" s="517"/>
      <c r="C207" s="46"/>
    </row>
    <row r="208" spans="2:18" ht="13" x14ac:dyDescent="0.25">
      <c r="B208" s="517"/>
      <c r="C208" s="46"/>
    </row>
    <row r="209" spans="2:17" ht="13" x14ac:dyDescent="0.25">
      <c r="B209" s="517"/>
      <c r="C209" s="46"/>
      <c r="E209" s="549" t="s">
        <v>229</v>
      </c>
      <c r="F209" s="554"/>
      <c r="G209" s="554"/>
      <c r="H209" s="554"/>
      <c r="I209" s="554"/>
      <c r="J209" s="554"/>
    </row>
    <row r="210" spans="2:17" s="3" customFormat="1" ht="39" x14ac:dyDescent="0.3">
      <c r="B210" s="395" t="str">
        <f>'III. Data Inputs-BE'!B55</f>
        <v>Population 5</v>
      </c>
      <c r="C210" s="453" t="str">
        <f>'III. Data Inputs-BE'!B121</f>
        <v>Liquid/Slurry w/natural crust cover</v>
      </c>
      <c r="D210" s="138"/>
      <c r="E210" s="554"/>
      <c r="F210" s="554"/>
      <c r="G210" s="554"/>
      <c r="H210" s="554"/>
      <c r="I210" s="554"/>
      <c r="J210" s="554"/>
      <c r="K210" s="142"/>
      <c r="L210" s="142"/>
      <c r="M210" s="143"/>
      <c r="N210" s="143"/>
      <c r="O210" s="4"/>
      <c r="Q210" s="142"/>
    </row>
    <row r="211" spans="2:17" ht="15" x14ac:dyDescent="0.3">
      <c r="B211" s="524" t="s">
        <v>383</v>
      </c>
      <c r="C211" s="454">
        <f>'III. Data Inputs-BE'!D97</f>
        <v>0</v>
      </c>
      <c r="E211" s="554"/>
      <c r="F211" s="554"/>
      <c r="G211" s="554"/>
      <c r="H211" s="554"/>
      <c r="I211" s="554"/>
      <c r="J211" s="554"/>
      <c r="K211" s="96"/>
      <c r="L211" s="96"/>
      <c r="M211" s="96"/>
      <c r="N211" s="144"/>
      <c r="O211" s="96"/>
      <c r="P211" s="144"/>
      <c r="Q211" s="144"/>
    </row>
    <row r="212" spans="2:17" ht="13" x14ac:dyDescent="0.3">
      <c r="B212" s="524"/>
      <c r="C212" s="128"/>
      <c r="E212" s="58"/>
      <c r="F212" s="57"/>
      <c r="G212" s="57"/>
      <c r="H212" s="57"/>
      <c r="I212" s="57"/>
      <c r="J212" s="57"/>
      <c r="K212" s="4"/>
      <c r="L212" s="4"/>
      <c r="M212" s="4"/>
      <c r="O212" s="46"/>
    </row>
    <row r="213" spans="2:17" ht="29" x14ac:dyDescent="0.4">
      <c r="B213" s="369" t="s">
        <v>195</v>
      </c>
      <c r="C213" s="128" t="s">
        <v>384</v>
      </c>
      <c r="D213" s="447" t="s">
        <v>385</v>
      </c>
      <c r="E213" s="448" t="s">
        <v>386</v>
      </c>
      <c r="F213" s="435" t="s">
        <v>387</v>
      </c>
      <c r="G213" s="448" t="s">
        <v>388</v>
      </c>
      <c r="H213" s="435" t="s">
        <v>389</v>
      </c>
      <c r="I213" s="435" t="s">
        <v>390</v>
      </c>
      <c r="J213" s="435" t="s">
        <v>391</v>
      </c>
      <c r="K213" s="4"/>
      <c r="L213" s="4"/>
      <c r="M213" s="4"/>
      <c r="O213" s="46"/>
    </row>
    <row r="214" spans="2:17" x14ac:dyDescent="0.25">
      <c r="B214" s="292" t="str">
        <f>'III. Data Inputs-BE'!$B$33</f>
        <v>January</v>
      </c>
      <c r="C214" s="140">
        <f>'III. Data Inputs-BE'!$E$33</f>
        <v>31</v>
      </c>
      <c r="D214" s="452">
        <f>MIN(0.95, MAX(0.104,EXP(15175*(('III. Data Inputs-BE'!$C$33+273)-303.16)/(1.987*('III. Data Inputs-BE'!$C$33+273)*303.16))))</f>
        <v>0.104</v>
      </c>
      <c r="E214" s="300">
        <f t="shared" ref="E214:E225" si="24">$C$211</f>
        <v>0</v>
      </c>
      <c r="F214" s="148">
        <f>(E214*'III. Data Inputs-BE'!G70*'III. Data Inputs-BE'!$G$175*C214*0.8)+G214</f>
        <v>0</v>
      </c>
      <c r="G214" s="449">
        <v>0</v>
      </c>
      <c r="H214" s="148">
        <f>F214*D214</f>
        <v>0</v>
      </c>
      <c r="I214" s="148">
        <f>IF('III. Data Inputs-BE'!D33=0,0,H214*'III. Data Inputs-BE'!$C$111*0.68*0.001)*('III. Data Inputs-BE'!G33/'III. Data Inputs-BE'!E33)</f>
        <v>0</v>
      </c>
      <c r="J214" s="148">
        <f t="shared" ref="J214:J225" si="25">I214*gwp_ch4</f>
        <v>0</v>
      </c>
    </row>
    <row r="215" spans="2:17" x14ac:dyDescent="0.25">
      <c r="B215" s="292" t="str">
        <f>'III. Data Inputs-BE'!$B$34</f>
        <v>February</v>
      </c>
      <c r="C215" s="140">
        <f>'III. Data Inputs-BE'!$E$34</f>
        <v>28</v>
      </c>
      <c r="D215" s="452">
        <f>MIN(0.95, MAX(0.104,EXP(15175*(('III. Data Inputs-BE'!$C$34+273)-303.16)/(1.987*('III. Data Inputs-BE'!$C$34+273)*303.16))))</f>
        <v>0.104</v>
      </c>
      <c r="E215" s="300">
        <f t="shared" si="24"/>
        <v>0</v>
      </c>
      <c r="F215" s="148">
        <f>(E215*'III. Data Inputs-BE'!G71*'III. Data Inputs-BE'!$G$175*C215*0.8)+G215</f>
        <v>0</v>
      </c>
      <c r="G215" s="450">
        <f>IF('III. Data Inputs-BE'!$H$34=TRUE,0,IF('III. Data Inputs-BE'!$C$138="Yes",0,(F214-H214)*(1-INDEX('III. Data Inputs-BE'!$B$141:$D$154, MATCH('V. BE CH4,AS'!B214, 'III. Data Inputs-BE'!$B$141:$B$154,0), MATCH('V. BE CH4,AS'!$C$210,'III. Data Inputs-BE'!$B$141:$D$141,0)))))</f>
        <v>0</v>
      </c>
      <c r="H215" s="148">
        <f t="shared" ref="H215:H225" si="26">F215*D215</f>
        <v>0</v>
      </c>
      <c r="I215" s="148">
        <f>IF('III. Data Inputs-BE'!D34=0,0,H215*'III. Data Inputs-BE'!$C$111*0.68*0.001)*('III. Data Inputs-BE'!G34/'III. Data Inputs-BE'!E34)</f>
        <v>0</v>
      </c>
      <c r="J215" s="148">
        <f t="shared" si="25"/>
        <v>0</v>
      </c>
    </row>
    <row r="216" spans="2:17" x14ac:dyDescent="0.25">
      <c r="B216" s="292" t="str">
        <f>'III. Data Inputs-BE'!$B$35</f>
        <v>March</v>
      </c>
      <c r="C216" s="140">
        <f>'III. Data Inputs-BE'!$E$35</f>
        <v>31</v>
      </c>
      <c r="D216" s="452">
        <f>MIN(0.95, MAX(0.104,EXP(15175*(('III. Data Inputs-BE'!$C$35+273)-303.16)/(1.987*('III. Data Inputs-BE'!$C$35+273)*303.16))))</f>
        <v>0.104</v>
      </c>
      <c r="E216" s="300">
        <f t="shared" si="24"/>
        <v>0</v>
      </c>
      <c r="F216" s="148">
        <f>(E216*'III. Data Inputs-BE'!G72*'III. Data Inputs-BE'!$G$175*C216*0.8)+G216</f>
        <v>0</v>
      </c>
      <c r="G216" s="450">
        <f>IF('III. Data Inputs-BE'!$H$34=TRUE,0,IF('III. Data Inputs-BE'!$C$138="Yes",0,(F215-H215)*(1-INDEX('III. Data Inputs-BE'!$B$141:$D$154, MATCH('V. BE CH4,AS'!B215, 'III. Data Inputs-BE'!$B$141:$B$154,0), MATCH('V. BE CH4,AS'!$C$210,'III. Data Inputs-BE'!$B$141:$D$141,0)))))</f>
        <v>0</v>
      </c>
      <c r="H216" s="148">
        <f t="shared" si="26"/>
        <v>0</v>
      </c>
      <c r="I216" s="148">
        <f>IF('III. Data Inputs-BE'!D35=0,0,H216*'III. Data Inputs-BE'!$C$111*0.68*0.001)*('III. Data Inputs-BE'!G35/'III. Data Inputs-BE'!E35)</f>
        <v>0</v>
      </c>
      <c r="J216" s="148">
        <f t="shared" si="25"/>
        <v>0</v>
      </c>
    </row>
    <row r="217" spans="2:17" x14ac:dyDescent="0.25">
      <c r="B217" s="292" t="str">
        <f>'III. Data Inputs-BE'!$B$36</f>
        <v>April</v>
      </c>
      <c r="C217" s="140">
        <f>'III. Data Inputs-BE'!$E$36</f>
        <v>30</v>
      </c>
      <c r="D217" s="452">
        <f>MIN(0.95, MAX(0.104,EXP(15175*(('III. Data Inputs-BE'!$C$36+273)-303.16)/(1.987*('III. Data Inputs-BE'!$C$36+273)*303.16))))</f>
        <v>0.104</v>
      </c>
      <c r="E217" s="300">
        <f t="shared" si="24"/>
        <v>0</v>
      </c>
      <c r="F217" s="148">
        <f>(E217*'III. Data Inputs-BE'!G73*'III. Data Inputs-BE'!$G$175*C217*0.8)+G217</f>
        <v>0</v>
      </c>
      <c r="G217" s="450">
        <f>IF('III. Data Inputs-BE'!$H$34=TRUE,0,IF('III. Data Inputs-BE'!$C$138="Yes",0,(F216-H216)*(1-INDEX('III. Data Inputs-BE'!$B$141:$D$154, MATCH('V. BE CH4,AS'!B216, 'III. Data Inputs-BE'!$B$141:$B$154,0), MATCH('V. BE CH4,AS'!$C$210,'III. Data Inputs-BE'!$B$141:$D$141,0)))))</f>
        <v>0</v>
      </c>
      <c r="H217" s="148">
        <f t="shared" si="26"/>
        <v>0</v>
      </c>
      <c r="I217" s="148">
        <f>IF('III. Data Inputs-BE'!D36=0,0,H217*'III. Data Inputs-BE'!$C$111*0.68*0.001)*('III. Data Inputs-BE'!G36/'III. Data Inputs-BE'!E36)</f>
        <v>0</v>
      </c>
      <c r="J217" s="148">
        <f t="shared" si="25"/>
        <v>0</v>
      </c>
    </row>
    <row r="218" spans="2:17" x14ac:dyDescent="0.25">
      <c r="B218" s="292" t="str">
        <f>'III. Data Inputs-BE'!$B$37</f>
        <v>May</v>
      </c>
      <c r="C218" s="140">
        <f>'III. Data Inputs-BE'!$E$37</f>
        <v>31</v>
      </c>
      <c r="D218" s="452">
        <f>MIN(0.95, MAX(0.104,EXP(15175*(('III. Data Inputs-BE'!$C$37+273)-303.16)/(1.987*('III. Data Inputs-BE'!$C$37+273)*303.16))))</f>
        <v>0.104</v>
      </c>
      <c r="E218" s="300">
        <f t="shared" si="24"/>
        <v>0</v>
      </c>
      <c r="F218" s="148">
        <f>(E218*'III. Data Inputs-BE'!G74*'III. Data Inputs-BE'!$G$175*C218*0.8)+G218</f>
        <v>0</v>
      </c>
      <c r="G218" s="450">
        <f>IF('III. Data Inputs-BE'!$H$34=TRUE,0,IF('III. Data Inputs-BE'!$C$138="Yes",0,(F217-H217)*(1-INDEX('III. Data Inputs-BE'!$B$141:$D$154, MATCH('V. BE CH4,AS'!B217, 'III. Data Inputs-BE'!$B$141:$B$154,0), MATCH('V. BE CH4,AS'!$C$210,'III. Data Inputs-BE'!$B$141:$D$141,0)))))</f>
        <v>0</v>
      </c>
      <c r="H218" s="148">
        <f t="shared" si="26"/>
        <v>0</v>
      </c>
      <c r="I218" s="148">
        <f>IF('III. Data Inputs-BE'!D37=0,0,H218*'III. Data Inputs-BE'!$C$111*0.68*0.001)*('III. Data Inputs-BE'!G37/'III. Data Inputs-BE'!E37)</f>
        <v>0</v>
      </c>
      <c r="J218" s="148">
        <f t="shared" si="25"/>
        <v>0</v>
      </c>
    </row>
    <row r="219" spans="2:17" x14ac:dyDescent="0.25">
      <c r="B219" s="292" t="str">
        <f>'III. Data Inputs-BE'!$B$38</f>
        <v>June</v>
      </c>
      <c r="C219" s="140">
        <f>'III. Data Inputs-BE'!$E$38</f>
        <v>30</v>
      </c>
      <c r="D219" s="452">
        <f>MIN(0.95, MAX(0.104,EXP(15175*(('III. Data Inputs-BE'!$C$38+273)-303.16)/(1.987*('III. Data Inputs-BE'!$C$38+273)*303.16))))</f>
        <v>0.104</v>
      </c>
      <c r="E219" s="300">
        <f t="shared" si="24"/>
        <v>0</v>
      </c>
      <c r="F219" s="148">
        <f>(E219*'III. Data Inputs-BE'!G75*'III. Data Inputs-BE'!$G$175*C219*0.8)+G219</f>
        <v>0</v>
      </c>
      <c r="G219" s="450">
        <f>IF('III. Data Inputs-BE'!$H$34=TRUE,0,IF('III. Data Inputs-BE'!$C$138="Yes",0,(F218-H218)*(1-INDEX('III. Data Inputs-BE'!$B$141:$D$154, MATCH('V. BE CH4,AS'!B218, 'III. Data Inputs-BE'!$B$141:$B$154,0), MATCH('V. BE CH4,AS'!$C$210,'III. Data Inputs-BE'!$B$141:$D$141,0)))))</f>
        <v>0</v>
      </c>
      <c r="H219" s="148">
        <f t="shared" si="26"/>
        <v>0</v>
      </c>
      <c r="I219" s="148">
        <f>IF('III. Data Inputs-BE'!D38=0,0,H219*'III. Data Inputs-BE'!$C$111*0.68*0.001)*('III. Data Inputs-BE'!G38/'III. Data Inputs-BE'!E38)</f>
        <v>0</v>
      </c>
      <c r="J219" s="148">
        <f t="shared" si="25"/>
        <v>0</v>
      </c>
    </row>
    <row r="220" spans="2:17" x14ac:dyDescent="0.25">
      <c r="B220" s="292" t="str">
        <f>'III. Data Inputs-BE'!$B$39</f>
        <v>July</v>
      </c>
      <c r="C220" s="140">
        <f>'III. Data Inputs-BE'!$E$39</f>
        <v>31</v>
      </c>
      <c r="D220" s="452">
        <f>MIN(0.95, MAX(0.104,EXP(15175*(('III. Data Inputs-BE'!$C$39+273)-303.16)/(1.987*('III. Data Inputs-BE'!$C$39+273)*303.16))))</f>
        <v>0.104</v>
      </c>
      <c r="E220" s="300">
        <f t="shared" si="24"/>
        <v>0</v>
      </c>
      <c r="F220" s="148">
        <f>(E220*'III. Data Inputs-BE'!G76*'III. Data Inputs-BE'!$G$175*C220*0.8)+G220</f>
        <v>0</v>
      </c>
      <c r="G220" s="450">
        <f>IF('III. Data Inputs-BE'!$H$34=TRUE,0,IF('III. Data Inputs-BE'!$C$138="Yes",0,(F219-H219)*(1-INDEX('III. Data Inputs-BE'!$B$141:$D$154, MATCH('V. BE CH4,AS'!B219, 'III. Data Inputs-BE'!$B$141:$B$154,0), MATCH('V. BE CH4,AS'!$C$210,'III. Data Inputs-BE'!$B$141:$D$141,0)))))</f>
        <v>0</v>
      </c>
      <c r="H220" s="148">
        <f t="shared" si="26"/>
        <v>0</v>
      </c>
      <c r="I220" s="148">
        <f>IF('III. Data Inputs-BE'!D39=0,0,H220*'III. Data Inputs-BE'!$C$111*0.68*0.001)*('III. Data Inputs-BE'!G39/'III. Data Inputs-BE'!E39)</f>
        <v>0</v>
      </c>
      <c r="J220" s="148">
        <f t="shared" si="25"/>
        <v>0</v>
      </c>
    </row>
    <row r="221" spans="2:17" x14ac:dyDescent="0.25">
      <c r="B221" s="292" t="str">
        <f>'III. Data Inputs-BE'!$B$40</f>
        <v>August</v>
      </c>
      <c r="C221" s="140">
        <f>'III. Data Inputs-BE'!$E$40</f>
        <v>31</v>
      </c>
      <c r="D221" s="452">
        <f>MIN(0.95, MAX(0.104,EXP(15175*(('III. Data Inputs-BE'!$C$40+273)-303.16)/(1.987*('III. Data Inputs-BE'!$C$40+273)*303.16))))</f>
        <v>0.104</v>
      </c>
      <c r="E221" s="300">
        <f t="shared" si="24"/>
        <v>0</v>
      </c>
      <c r="F221" s="148">
        <f>(E221*'III. Data Inputs-BE'!G77*'III. Data Inputs-BE'!$G$175*C221*0.8)+G221</f>
        <v>0</v>
      </c>
      <c r="G221" s="450">
        <f>IF('III. Data Inputs-BE'!$H$34=TRUE,0,IF('III. Data Inputs-BE'!$C$138="Yes",0,(F220-H220)*(1-INDEX('III. Data Inputs-BE'!$B$141:$D$154, MATCH('V. BE CH4,AS'!B220, 'III. Data Inputs-BE'!$B$141:$B$154,0), MATCH('V. BE CH4,AS'!$C$210,'III. Data Inputs-BE'!$B$141:$D$141,0)))))</f>
        <v>0</v>
      </c>
      <c r="H221" s="148">
        <f t="shared" si="26"/>
        <v>0</v>
      </c>
      <c r="I221" s="148">
        <f>IF('III. Data Inputs-BE'!D40=0,0,H221*'III. Data Inputs-BE'!$C$111*0.68*0.001)*('III. Data Inputs-BE'!G40/'III. Data Inputs-BE'!E40)</f>
        <v>0</v>
      </c>
      <c r="J221" s="148">
        <f t="shared" si="25"/>
        <v>0</v>
      </c>
    </row>
    <row r="222" spans="2:17" x14ac:dyDescent="0.25">
      <c r="B222" s="292" t="str">
        <f>'III. Data Inputs-BE'!$B$41</f>
        <v>September</v>
      </c>
      <c r="C222" s="140">
        <f>'III. Data Inputs-BE'!$E$41</f>
        <v>30</v>
      </c>
      <c r="D222" s="452">
        <f>MIN(0.95, MAX(0.104,EXP(15175*(('III. Data Inputs-BE'!$C$41+273)-303.16)/(1.987*('III. Data Inputs-BE'!$C$41+273)*303.16))))</f>
        <v>0.104</v>
      </c>
      <c r="E222" s="300">
        <f t="shared" si="24"/>
        <v>0</v>
      </c>
      <c r="F222" s="148">
        <f>(E222*'III. Data Inputs-BE'!G78*'III. Data Inputs-BE'!$G$175*C222*0.8)+G222</f>
        <v>0</v>
      </c>
      <c r="G222" s="450">
        <f>IF('III. Data Inputs-BE'!$H$34=TRUE,0,IF('III. Data Inputs-BE'!$C$138="Yes",0,(F221-H221)*(1-INDEX('III. Data Inputs-BE'!$B$141:$D$154, MATCH('V. BE CH4,AS'!B221, 'III. Data Inputs-BE'!$B$141:$B$154,0), MATCH('V. BE CH4,AS'!$C$210,'III. Data Inputs-BE'!$B$141:$D$141,0)))))</f>
        <v>0</v>
      </c>
      <c r="H222" s="148">
        <f t="shared" si="26"/>
        <v>0</v>
      </c>
      <c r="I222" s="148">
        <f>IF('III. Data Inputs-BE'!D41=0,0,H222*'III. Data Inputs-BE'!$C$111*0.68*0.001)*('III. Data Inputs-BE'!G41/'III. Data Inputs-BE'!E41)</f>
        <v>0</v>
      </c>
      <c r="J222" s="148">
        <f t="shared" si="25"/>
        <v>0</v>
      </c>
    </row>
    <row r="223" spans="2:17" x14ac:dyDescent="0.25">
      <c r="B223" s="292" t="str">
        <f>'III. Data Inputs-BE'!$B$42</f>
        <v>October</v>
      </c>
      <c r="C223" s="140">
        <f>'III. Data Inputs-BE'!$E$42</f>
        <v>31</v>
      </c>
      <c r="D223" s="452">
        <f>MIN(0.95, MAX(0.104,EXP(15175*(('III. Data Inputs-BE'!$C$42+273)-303.16)/(1.987*('III. Data Inputs-BE'!$C$42+273)*303.16))))</f>
        <v>0.104</v>
      </c>
      <c r="E223" s="300">
        <f t="shared" si="24"/>
        <v>0</v>
      </c>
      <c r="F223" s="148">
        <f>(E223*'III. Data Inputs-BE'!G79*'III. Data Inputs-BE'!$G$175*C223*0.8)+G223</f>
        <v>0</v>
      </c>
      <c r="G223" s="450">
        <f>IF('III. Data Inputs-BE'!$H$34=TRUE,0,IF('III. Data Inputs-BE'!$C$138="Yes",0,(F222-H222)*(1-INDEX('III. Data Inputs-BE'!$B$141:$D$154, MATCH('V. BE CH4,AS'!B222, 'III. Data Inputs-BE'!$B$141:$B$154,0), MATCH('V. BE CH4,AS'!$C$210,'III. Data Inputs-BE'!$B$141:$D$141,0)))))</f>
        <v>0</v>
      </c>
      <c r="H223" s="148">
        <f t="shared" si="26"/>
        <v>0</v>
      </c>
      <c r="I223" s="148">
        <f>IF('III. Data Inputs-BE'!D42=0,0,H223*'III. Data Inputs-BE'!$C$111*0.68*0.001)*('III. Data Inputs-BE'!G42/'III. Data Inputs-BE'!E42)</f>
        <v>0</v>
      </c>
      <c r="J223" s="148">
        <f t="shared" si="25"/>
        <v>0</v>
      </c>
    </row>
    <row r="224" spans="2:17" s="3" customFormat="1" ht="13" x14ac:dyDescent="0.3">
      <c r="B224" s="292" t="str">
        <f>'III. Data Inputs-BE'!$B$43</f>
        <v>November</v>
      </c>
      <c r="C224" s="140">
        <f>'III. Data Inputs-BE'!$E$43</f>
        <v>30</v>
      </c>
      <c r="D224" s="452">
        <f>MIN(0.95, MAX(0.104,EXP(15175*(('III. Data Inputs-BE'!$C$43+273)-303.16)/(1.987*('III. Data Inputs-BE'!$C$43+273)*303.16))))</f>
        <v>0.104</v>
      </c>
      <c r="E224" s="300">
        <f t="shared" si="24"/>
        <v>0</v>
      </c>
      <c r="F224" s="148">
        <f>(E224*'III. Data Inputs-BE'!G80*'III. Data Inputs-BE'!$G$175*C224*0.8)+G224</f>
        <v>0</v>
      </c>
      <c r="G224" s="450">
        <f>IF('III. Data Inputs-BE'!$H$34=TRUE,0,IF('III. Data Inputs-BE'!$C$138="Yes",0,(F223-H223)*(1-INDEX('III. Data Inputs-BE'!$B$141:$D$154, MATCH('V. BE CH4,AS'!B223, 'III. Data Inputs-BE'!$B$141:$B$154,0), MATCH('V. BE CH4,AS'!$C$210,'III. Data Inputs-BE'!$B$141:$D$141,0)))))</f>
        <v>0</v>
      </c>
      <c r="H224" s="148">
        <f t="shared" si="26"/>
        <v>0</v>
      </c>
      <c r="I224" s="148">
        <f>IF('III. Data Inputs-BE'!D43=0,0,H224*'III. Data Inputs-BE'!$C$111*0.68*0.001)*('III. Data Inputs-BE'!G43/'III. Data Inputs-BE'!E43)</f>
        <v>0</v>
      </c>
      <c r="J224" s="148">
        <f t="shared" si="25"/>
        <v>0</v>
      </c>
      <c r="K224" s="142"/>
      <c r="L224" s="142"/>
      <c r="M224" s="143"/>
    </row>
    <row r="225" spans="1:94" x14ac:dyDescent="0.25">
      <c r="B225" s="528" t="str">
        <f>'III. Data Inputs-BE'!$B$44</f>
        <v>December</v>
      </c>
      <c r="C225" s="464">
        <f>'III. Data Inputs-BE'!$E$44</f>
        <v>31</v>
      </c>
      <c r="D225" s="452">
        <f>MIN(0.95, MAX(0.104,EXP(15175*(('III. Data Inputs-BE'!$C$44+273)-303.16)/(1.987*('III. Data Inputs-BE'!$C$44+273)*303.16))))</f>
        <v>0.104</v>
      </c>
      <c r="E225" s="466">
        <f t="shared" si="24"/>
        <v>0</v>
      </c>
      <c r="F225" s="465">
        <f>(E225*'III. Data Inputs-BE'!G81*'III. Data Inputs-BE'!$G$175*C225*0.8)+G225</f>
        <v>0</v>
      </c>
      <c r="G225" s="467">
        <f>IF('III. Data Inputs-BE'!$H$34=TRUE,0,IF('III. Data Inputs-BE'!$C$138="Yes",0,(F224-H224)*(1-INDEX('III. Data Inputs-BE'!$B$141:$D$154, MATCH('V. BE CH4,AS'!B224, 'III. Data Inputs-BE'!$B$141:$B$154,0), MATCH('V. BE CH4,AS'!$C$210,'III. Data Inputs-BE'!$B$141:$D$141,0)))))</f>
        <v>0</v>
      </c>
      <c r="H225" s="148">
        <f t="shared" si="26"/>
        <v>0</v>
      </c>
      <c r="I225" s="148">
        <f>IF('III. Data Inputs-BE'!D44=0,0,H225*'III. Data Inputs-BE'!$C$111*0.68*0.001)*('III. Data Inputs-BE'!G44/'III. Data Inputs-BE'!E44)</f>
        <v>0</v>
      </c>
      <c r="J225" s="148">
        <f t="shared" si="25"/>
        <v>0</v>
      </c>
    </row>
    <row r="226" spans="1:94" ht="13" x14ac:dyDescent="0.3">
      <c r="B226" s="525" t="s">
        <v>392</v>
      </c>
      <c r="C226" s="468"/>
      <c r="D226" s="456"/>
      <c r="E226" s="456"/>
      <c r="F226" s="469"/>
      <c r="G226" s="470"/>
      <c r="H226" s="471">
        <f>SUM(H214:H225)</f>
        <v>0</v>
      </c>
      <c r="I226" s="462">
        <f>SUM(I214:I225)</f>
        <v>0</v>
      </c>
      <c r="J226" s="462">
        <f>SUM(J214:J225)</f>
        <v>0</v>
      </c>
      <c r="K226" s="4"/>
      <c r="L226" s="4"/>
      <c r="M226" s="4"/>
      <c r="O226" s="4"/>
      <c r="P226" s="36"/>
      <c r="Q226" s="36"/>
      <c r="R226" s="36"/>
    </row>
    <row r="227" spans="1:94" ht="13" x14ac:dyDescent="0.3">
      <c r="B227" s="517"/>
      <c r="C227" s="3"/>
      <c r="D227" s="57"/>
      <c r="E227" s="57"/>
      <c r="F227" s="58"/>
      <c r="G227" s="58"/>
      <c r="H227" s="58"/>
      <c r="I227" s="58"/>
      <c r="J227" s="58"/>
      <c r="K227" s="4"/>
      <c r="L227" s="4"/>
      <c r="M227" s="4"/>
      <c r="O227" s="4"/>
      <c r="P227" s="36"/>
      <c r="Q227" s="36"/>
      <c r="R227" s="36"/>
    </row>
    <row r="228" spans="1:94" s="60" customFormat="1" ht="13" x14ac:dyDescent="0.3">
      <c r="A228" s="13"/>
      <c r="B228" s="526" t="s">
        <v>393</v>
      </c>
      <c r="C228" s="428"/>
      <c r="D228" s="460"/>
      <c r="E228" s="460"/>
      <c r="F228" s="461"/>
      <c r="G228" s="472">
        <f>F225-H225</f>
        <v>0</v>
      </c>
      <c r="H228" s="58"/>
      <c r="I228" s="58"/>
      <c r="J228" s="58"/>
      <c r="K228" s="4"/>
      <c r="L228" s="4"/>
      <c r="M228" s="4"/>
      <c r="N228" s="13"/>
      <c r="O228" s="4"/>
      <c r="P228" s="36"/>
      <c r="Q228" s="36"/>
      <c r="R228" s="36"/>
      <c r="S228" s="13"/>
      <c r="T228" s="13"/>
      <c r="U228" s="13"/>
      <c r="V228" s="13"/>
      <c r="W228" s="13"/>
      <c r="X228" s="13"/>
      <c r="Y228" s="13"/>
      <c r="Z228" s="13"/>
      <c r="AA228" s="13"/>
      <c r="AB228" s="13"/>
      <c r="AC228" s="13"/>
      <c r="AD228" s="13"/>
      <c r="AE228" s="13"/>
      <c r="AF228" s="13"/>
      <c r="AG228" s="13"/>
      <c r="AH228" s="13"/>
      <c r="AI228" s="13"/>
      <c r="AJ228" s="13"/>
      <c r="AK228" s="13"/>
      <c r="AL228" s="13"/>
      <c r="AM228" s="13"/>
      <c r="AN228" s="13"/>
      <c r="AO228" s="13"/>
      <c r="AP228" s="13"/>
      <c r="AQ228" s="13"/>
      <c r="AR228" s="13"/>
      <c r="AS228" s="13"/>
      <c r="AT228" s="13"/>
      <c r="AU228" s="13"/>
      <c r="AV228" s="13"/>
      <c r="AW228" s="13"/>
      <c r="AX228" s="13"/>
      <c r="AY228" s="13"/>
      <c r="AZ228" s="13"/>
      <c r="BA228" s="13"/>
      <c r="BB228" s="13"/>
      <c r="BC228" s="13"/>
      <c r="BD228" s="13"/>
      <c r="BE228" s="13"/>
      <c r="BF228" s="13"/>
      <c r="BG228" s="13"/>
      <c r="BH228" s="13"/>
      <c r="BI228" s="13"/>
      <c r="BJ228" s="13"/>
      <c r="BK228" s="13"/>
      <c r="BL228" s="13"/>
      <c r="BM228" s="13"/>
      <c r="BN228" s="13"/>
      <c r="BO228" s="13"/>
      <c r="BP228" s="13"/>
      <c r="BQ228" s="13"/>
      <c r="BR228" s="13"/>
      <c r="BS228" s="13"/>
      <c r="BT228" s="13"/>
      <c r="BU228" s="13"/>
      <c r="BV228" s="13"/>
      <c r="BW228" s="13"/>
      <c r="BX228" s="13"/>
      <c r="BY228" s="13"/>
      <c r="BZ228" s="13"/>
      <c r="CA228" s="13"/>
      <c r="CB228" s="13"/>
      <c r="CC228" s="13"/>
      <c r="CD228" s="13"/>
      <c r="CE228" s="13"/>
      <c r="CF228" s="13"/>
      <c r="CG228" s="13"/>
      <c r="CH228" s="13"/>
      <c r="CI228" s="13"/>
      <c r="CJ228" s="13"/>
      <c r="CK228" s="13"/>
      <c r="CL228" s="13"/>
      <c r="CM228" s="13"/>
      <c r="CN228" s="13"/>
      <c r="CO228" s="13"/>
      <c r="CP228" s="13"/>
    </row>
    <row r="229" spans="1:94" ht="62.5" x14ac:dyDescent="0.3">
      <c r="G229" s="459" t="s">
        <v>394</v>
      </c>
      <c r="H229" s="58"/>
      <c r="I229" s="58"/>
      <c r="J229" s="58"/>
      <c r="K229" s="4"/>
      <c r="L229" s="4"/>
      <c r="M229" s="4"/>
      <c r="O229" s="4"/>
      <c r="P229" s="36"/>
      <c r="Q229" s="36"/>
      <c r="R229" s="36"/>
    </row>
    <row r="230" spans="1:94" ht="13" x14ac:dyDescent="0.3">
      <c r="B230" s="517"/>
      <c r="C230" s="4"/>
      <c r="E230" s="58"/>
      <c r="F230" s="57"/>
      <c r="G230" s="57"/>
      <c r="H230" s="57"/>
      <c r="I230" s="57"/>
      <c r="J230" s="57"/>
      <c r="K230" s="4"/>
      <c r="L230" s="4"/>
      <c r="M230" s="4"/>
      <c r="O230" s="4"/>
      <c r="P230" s="36"/>
      <c r="Q230" s="36"/>
      <c r="R230" s="36"/>
    </row>
    <row r="231" spans="1:94" ht="13" x14ac:dyDescent="0.3">
      <c r="B231" s="39"/>
      <c r="C231" s="3"/>
      <c r="E231" s="58"/>
      <c r="F231" s="57"/>
      <c r="G231" s="57"/>
      <c r="H231" s="57"/>
      <c r="I231" s="57"/>
      <c r="J231" s="57"/>
      <c r="K231" s="4"/>
      <c r="L231" s="4"/>
      <c r="M231" s="4"/>
      <c r="O231" s="4"/>
      <c r="P231" s="36"/>
      <c r="Q231" s="36"/>
      <c r="R231" s="36"/>
    </row>
    <row r="232" spans="1:94" ht="13" x14ac:dyDescent="0.3">
      <c r="B232" s="39"/>
      <c r="C232" s="4"/>
      <c r="D232" s="153"/>
      <c r="E232" s="549" t="s">
        <v>229</v>
      </c>
      <c r="F232" s="554"/>
      <c r="G232" s="554"/>
      <c r="H232" s="554"/>
      <c r="I232" s="554"/>
      <c r="J232" s="554"/>
      <c r="K232" s="36"/>
      <c r="L232" s="36"/>
      <c r="M232" s="36"/>
    </row>
    <row r="233" spans="1:94" ht="13" x14ac:dyDescent="0.25">
      <c r="B233" s="517"/>
      <c r="C233" s="46"/>
      <c r="E233" s="554"/>
      <c r="F233" s="554"/>
      <c r="G233" s="554"/>
      <c r="H233" s="554"/>
      <c r="I233" s="554"/>
      <c r="J233" s="554"/>
      <c r="K233" s="96"/>
      <c r="L233" s="96"/>
    </row>
    <row r="234" spans="1:94" ht="13" x14ac:dyDescent="0.25">
      <c r="B234" s="517"/>
      <c r="C234" s="46"/>
      <c r="E234" s="554"/>
      <c r="F234" s="554"/>
      <c r="G234" s="554"/>
      <c r="H234" s="554"/>
      <c r="I234" s="554"/>
      <c r="J234" s="554"/>
    </row>
    <row r="235" spans="1:94" ht="13" x14ac:dyDescent="0.3">
      <c r="B235" s="395" t="str">
        <f>B210</f>
        <v>Population 5</v>
      </c>
      <c r="C235" s="453">
        <f>'III. Data Inputs-BE'!B122</f>
        <v>0</v>
      </c>
      <c r="D235" s="138"/>
      <c r="E235" s="57"/>
      <c r="F235" s="57"/>
      <c r="G235" s="57"/>
      <c r="H235" s="57"/>
      <c r="I235" s="57"/>
      <c r="J235" s="57"/>
    </row>
    <row r="236" spans="1:94" ht="15" x14ac:dyDescent="0.3">
      <c r="B236" s="524" t="s">
        <v>383</v>
      </c>
      <c r="C236" s="454">
        <f>C211</f>
        <v>0</v>
      </c>
      <c r="E236" s="58"/>
      <c r="F236" s="57"/>
      <c r="G236" s="57"/>
      <c r="H236" s="57"/>
      <c r="I236" s="57"/>
      <c r="J236" s="57"/>
    </row>
    <row r="237" spans="1:94" ht="13" x14ac:dyDescent="0.3">
      <c r="B237" s="524"/>
      <c r="C237" s="128"/>
      <c r="E237" s="58"/>
      <c r="F237" s="57"/>
      <c r="G237" s="57"/>
      <c r="H237" s="57"/>
      <c r="I237" s="57"/>
      <c r="J237" s="57"/>
    </row>
    <row r="238" spans="1:94" ht="29" x14ac:dyDescent="0.4">
      <c r="B238" s="369" t="s">
        <v>195</v>
      </c>
      <c r="C238" s="128" t="s">
        <v>384</v>
      </c>
      <c r="D238" s="447" t="s">
        <v>385</v>
      </c>
      <c r="E238" s="448" t="s">
        <v>386</v>
      </c>
      <c r="F238" s="435" t="s">
        <v>387</v>
      </c>
      <c r="G238" s="448" t="s">
        <v>388</v>
      </c>
      <c r="H238" s="435" t="s">
        <v>389</v>
      </c>
      <c r="I238" s="435" t="s">
        <v>390</v>
      </c>
      <c r="J238" s="435" t="s">
        <v>391</v>
      </c>
    </row>
    <row r="239" spans="1:94" x14ac:dyDescent="0.25">
      <c r="B239" s="292" t="str">
        <f>'III. Data Inputs-BE'!$B$33</f>
        <v>January</v>
      </c>
      <c r="C239" s="140">
        <f>'III. Data Inputs-BE'!$E$33</f>
        <v>31</v>
      </c>
      <c r="D239" s="452">
        <f>MIN(0.95, MAX(0.104,EXP(15175*(('III. Data Inputs-BE'!$C$33+273)-303.16)/(1.987*('III. Data Inputs-BE'!$C$33+273)*303.16))))</f>
        <v>0.104</v>
      </c>
      <c r="E239" s="300">
        <f t="shared" ref="E239:E250" si="27">$C$236</f>
        <v>0</v>
      </c>
      <c r="F239" s="148">
        <f>(E239*'III. Data Inputs-BE'!G70*'III. Data Inputs-BE'!$G$176*C239*0.8)+G239</f>
        <v>0</v>
      </c>
      <c r="G239" s="449">
        <v>0</v>
      </c>
      <c r="H239" s="148">
        <f>F239*D239</f>
        <v>0</v>
      </c>
      <c r="I239" s="148">
        <f>IF('III. Data Inputs-BE'!D33=0,0,H239*'III. Data Inputs-BE'!$C$111*0.68*0.001)*('III. Data Inputs-BE'!G33/'III. Data Inputs-BE'!E33)</f>
        <v>0</v>
      </c>
      <c r="J239" s="148">
        <f t="shared" ref="J239:J250" si="28">I239*gwp_ch4</f>
        <v>0</v>
      </c>
    </row>
    <row r="240" spans="1:94" x14ac:dyDescent="0.25">
      <c r="B240" s="292" t="str">
        <f>'III. Data Inputs-BE'!$B$34</f>
        <v>February</v>
      </c>
      <c r="C240" s="140">
        <f>'III. Data Inputs-BE'!$E$34</f>
        <v>28</v>
      </c>
      <c r="D240" s="452">
        <f>MIN(0.95, MAX(0.104,EXP(15175*(('III. Data Inputs-BE'!$C$34+273)-303.16)/(1.987*('III. Data Inputs-BE'!$C$34+273)*303.16))))</f>
        <v>0.104</v>
      </c>
      <c r="E240" s="300">
        <f t="shared" si="27"/>
        <v>0</v>
      </c>
      <c r="F240" s="148">
        <f>(E240*'III. Data Inputs-BE'!G71*'III. Data Inputs-BE'!$G$176*C240*0.8)+G240</f>
        <v>0</v>
      </c>
      <c r="G240" s="450">
        <f>IF('III. Data Inputs-BE'!$H$34=TRUE,0,IF('III. Data Inputs-BE'!$C$138="Yes",0,(F239-H239)*(1-INDEX('III. Data Inputs-BE'!$B$141:$D$154, MATCH('V. BE CH4,AS'!B239, 'III. Data Inputs-BE'!$B$141:$B$154,0), MATCH('V. BE CH4,AS'!$C$235,'III. Data Inputs-BE'!$B$141:$D$141,0)))))</f>
        <v>0</v>
      </c>
      <c r="H240" s="148">
        <f t="shared" ref="H240:H250" si="29">F240*D240</f>
        <v>0</v>
      </c>
      <c r="I240" s="148">
        <f>IF('III. Data Inputs-BE'!D34=0,0,H240*'III. Data Inputs-BE'!$C$111*0.68*0.001)*('III. Data Inputs-BE'!G34/'III. Data Inputs-BE'!E34)</f>
        <v>0</v>
      </c>
      <c r="J240" s="148">
        <f t="shared" si="28"/>
        <v>0</v>
      </c>
    </row>
    <row r="241" spans="1:94" s="3" customFormat="1" ht="13" x14ac:dyDescent="0.3">
      <c r="B241" s="292" t="str">
        <f>'III. Data Inputs-BE'!$B$35</f>
        <v>March</v>
      </c>
      <c r="C241" s="140">
        <f>'III. Data Inputs-BE'!$E$35</f>
        <v>31</v>
      </c>
      <c r="D241" s="452">
        <f>MIN(0.95, MAX(0.104,EXP(15175*(('III. Data Inputs-BE'!$C$35+273)-303.16)/(1.987*('III. Data Inputs-BE'!$C$35+273)*303.16))))</f>
        <v>0.104</v>
      </c>
      <c r="E241" s="300">
        <f t="shared" si="27"/>
        <v>0</v>
      </c>
      <c r="F241" s="148">
        <f>(E241*'III. Data Inputs-BE'!G72*'III. Data Inputs-BE'!$G$176*C241*0.8)+G241</f>
        <v>0</v>
      </c>
      <c r="G241" s="450">
        <f>IF('III. Data Inputs-BE'!$H$34=TRUE,0,IF('III. Data Inputs-BE'!$C$138="Yes",0,(F240-H240)*(1-INDEX('III. Data Inputs-BE'!$B$141:$D$154, MATCH('V. BE CH4,AS'!B240, 'III. Data Inputs-BE'!$B$141:$B$154,0), MATCH('V. BE CH4,AS'!$C$235,'III. Data Inputs-BE'!$B$141:$D$141,0)))))</f>
        <v>0</v>
      </c>
      <c r="H241" s="148">
        <f t="shared" si="29"/>
        <v>0</v>
      </c>
      <c r="I241" s="148">
        <f>IF('III. Data Inputs-BE'!D35=0,0,H241*'III. Data Inputs-BE'!$C$111*0.68*0.001)*('III. Data Inputs-BE'!G35/'III. Data Inputs-BE'!E35)</f>
        <v>0</v>
      </c>
      <c r="J241" s="148">
        <f t="shared" si="28"/>
        <v>0</v>
      </c>
      <c r="K241" s="142"/>
      <c r="L241" s="142"/>
      <c r="M241" s="143"/>
      <c r="N241" s="143"/>
      <c r="O241" s="4"/>
      <c r="Q241" s="142"/>
    </row>
    <row r="242" spans="1:94" x14ac:dyDescent="0.25">
      <c r="B242" s="292" t="str">
        <f>'III. Data Inputs-BE'!$B$36</f>
        <v>April</v>
      </c>
      <c r="C242" s="140">
        <f>'III. Data Inputs-BE'!$E$36</f>
        <v>30</v>
      </c>
      <c r="D242" s="452">
        <f>MIN(0.95, MAX(0.104,EXP(15175*(('III. Data Inputs-BE'!$C$36+273)-303.16)/(1.987*('III. Data Inputs-BE'!$C$36+273)*303.16))))</f>
        <v>0.104</v>
      </c>
      <c r="E242" s="300">
        <f t="shared" si="27"/>
        <v>0</v>
      </c>
      <c r="F242" s="148">
        <f>(E242*'III. Data Inputs-BE'!G73*'III. Data Inputs-BE'!$G$176*C242*0.8)+G242</f>
        <v>0</v>
      </c>
      <c r="G242" s="450">
        <f>IF('III. Data Inputs-BE'!$H$34=TRUE,0,IF('III. Data Inputs-BE'!$C$138="Yes",0,(F241-H241)*(1-INDEX('III. Data Inputs-BE'!$B$141:$D$154, MATCH('V. BE CH4,AS'!B241, 'III. Data Inputs-BE'!$B$141:$B$154,0), MATCH('V. BE CH4,AS'!$C$235,'III. Data Inputs-BE'!$B$141:$D$141,0)))))</f>
        <v>0</v>
      </c>
      <c r="H242" s="148">
        <f t="shared" si="29"/>
        <v>0</v>
      </c>
      <c r="I242" s="148">
        <f>IF('III. Data Inputs-BE'!D36=0,0,H242*'III. Data Inputs-BE'!$C$111*0.68*0.001)*('III. Data Inputs-BE'!G36/'III. Data Inputs-BE'!E36)</f>
        <v>0</v>
      </c>
      <c r="J242" s="148">
        <f t="shared" si="28"/>
        <v>0</v>
      </c>
      <c r="K242" s="96"/>
      <c r="L242" s="96"/>
      <c r="M242" s="96"/>
      <c r="N242" s="144"/>
      <c r="O242" s="96"/>
      <c r="P242" s="144"/>
      <c r="Q242" s="144"/>
    </row>
    <row r="243" spans="1:94" ht="13" x14ac:dyDescent="0.3">
      <c r="B243" s="292" t="str">
        <f>'III. Data Inputs-BE'!$B$37</f>
        <v>May</v>
      </c>
      <c r="C243" s="140">
        <f>'III. Data Inputs-BE'!$E$37</f>
        <v>31</v>
      </c>
      <c r="D243" s="452">
        <f>MIN(0.95, MAX(0.104,EXP(15175*(('III. Data Inputs-BE'!$C$37+273)-303.16)/(1.987*('III. Data Inputs-BE'!$C$37+273)*303.16))))</f>
        <v>0.104</v>
      </c>
      <c r="E243" s="300">
        <f t="shared" si="27"/>
        <v>0</v>
      </c>
      <c r="F243" s="148">
        <f>(E243*'III. Data Inputs-BE'!G74*'III. Data Inputs-BE'!$G$176*C243*0.8)+G243</f>
        <v>0</v>
      </c>
      <c r="G243" s="450">
        <f>IF('III. Data Inputs-BE'!$H$34=TRUE,0,IF('III. Data Inputs-BE'!$C$138="Yes",0,(F242-H242)*(1-INDEX('III. Data Inputs-BE'!$B$141:$D$154, MATCH('V. BE CH4,AS'!B242, 'III. Data Inputs-BE'!$B$141:$B$154,0), MATCH('V. BE CH4,AS'!$C$235,'III. Data Inputs-BE'!$B$141:$D$141,0)))))</f>
        <v>0</v>
      </c>
      <c r="H243" s="148">
        <f t="shared" si="29"/>
        <v>0</v>
      </c>
      <c r="I243" s="148">
        <f>IF('III. Data Inputs-BE'!D37=0,0,H243*'III. Data Inputs-BE'!$C$111*0.68*0.001)*('III. Data Inputs-BE'!G37/'III. Data Inputs-BE'!E37)</f>
        <v>0</v>
      </c>
      <c r="J243" s="148">
        <f t="shared" si="28"/>
        <v>0</v>
      </c>
      <c r="K243" s="4"/>
      <c r="L243" s="4"/>
      <c r="M243" s="4"/>
      <c r="O243" s="46"/>
    </row>
    <row r="244" spans="1:94" ht="13" x14ac:dyDescent="0.3">
      <c r="B244" s="292" t="str">
        <f>'III. Data Inputs-BE'!$B$38</f>
        <v>June</v>
      </c>
      <c r="C244" s="140">
        <f>'III. Data Inputs-BE'!$E$38</f>
        <v>30</v>
      </c>
      <c r="D244" s="452">
        <f>MIN(0.95, MAX(0.104,EXP(15175*(('III. Data Inputs-BE'!$C$38+273)-303.16)/(1.987*('III. Data Inputs-BE'!$C$38+273)*303.16))))</f>
        <v>0.104</v>
      </c>
      <c r="E244" s="300">
        <f t="shared" si="27"/>
        <v>0</v>
      </c>
      <c r="F244" s="148">
        <f>(E244*'III. Data Inputs-BE'!G75*'III. Data Inputs-BE'!$G$176*C244*0.8)+G244</f>
        <v>0</v>
      </c>
      <c r="G244" s="450">
        <f>IF('III. Data Inputs-BE'!$H$34=TRUE,0,IF('III. Data Inputs-BE'!$C$138="Yes",0,(F243-H243)*(1-INDEX('III. Data Inputs-BE'!$B$141:$D$154, MATCH('V. BE CH4,AS'!B243, 'III. Data Inputs-BE'!$B$141:$B$154,0), MATCH('V. BE CH4,AS'!$C$235,'III. Data Inputs-BE'!$B$141:$D$141,0)))))</f>
        <v>0</v>
      </c>
      <c r="H244" s="148">
        <f t="shared" si="29"/>
        <v>0</v>
      </c>
      <c r="I244" s="148">
        <f>IF('III. Data Inputs-BE'!D38=0,0,H244*'III. Data Inputs-BE'!$C$111*0.68*0.001)*('III. Data Inputs-BE'!G38/'III. Data Inputs-BE'!E38)</f>
        <v>0</v>
      </c>
      <c r="J244" s="148">
        <f t="shared" si="28"/>
        <v>0</v>
      </c>
      <c r="K244" s="4"/>
      <c r="L244" s="4"/>
      <c r="M244" s="4"/>
      <c r="O244" s="46"/>
    </row>
    <row r="245" spans="1:94" ht="13" x14ac:dyDescent="0.3">
      <c r="B245" s="292" t="str">
        <f>'III. Data Inputs-BE'!$B$39</f>
        <v>July</v>
      </c>
      <c r="C245" s="140">
        <f>'III. Data Inputs-BE'!$E$39</f>
        <v>31</v>
      </c>
      <c r="D245" s="452">
        <f>MIN(0.95, MAX(0.104,EXP(15175*(('III. Data Inputs-BE'!$C$39+273)-303.16)/(1.987*('III. Data Inputs-BE'!$C$39+273)*303.16))))</f>
        <v>0.104</v>
      </c>
      <c r="E245" s="300">
        <f t="shared" si="27"/>
        <v>0</v>
      </c>
      <c r="F245" s="148">
        <f>(E245*'III. Data Inputs-BE'!G76*'III. Data Inputs-BE'!$G$176*C245*0.8)+G245</f>
        <v>0</v>
      </c>
      <c r="G245" s="450">
        <f>IF('III. Data Inputs-BE'!$H$34=TRUE,0,IF('III. Data Inputs-BE'!$C$138="Yes",0,(F244-H244)*(1-INDEX('III. Data Inputs-BE'!$B$141:$D$154, MATCH('V. BE CH4,AS'!B244, 'III. Data Inputs-BE'!$B$141:$B$154,0), MATCH('V. BE CH4,AS'!$C$235,'III. Data Inputs-BE'!$B$141:$D$141,0)))))</f>
        <v>0</v>
      </c>
      <c r="H245" s="148">
        <f t="shared" si="29"/>
        <v>0</v>
      </c>
      <c r="I245" s="148">
        <f>IF('III. Data Inputs-BE'!D39=0,0,H245*'III. Data Inputs-BE'!$C$111*0.68*0.001)*('III. Data Inputs-BE'!G39/'III. Data Inputs-BE'!E39)</f>
        <v>0</v>
      </c>
      <c r="J245" s="148">
        <f t="shared" si="28"/>
        <v>0</v>
      </c>
      <c r="K245" s="4"/>
      <c r="L245" s="4"/>
      <c r="M245" s="4"/>
      <c r="O245" s="46"/>
    </row>
    <row r="246" spans="1:94" x14ac:dyDescent="0.25">
      <c r="B246" s="292" t="str">
        <f>'III. Data Inputs-BE'!$B$40</f>
        <v>August</v>
      </c>
      <c r="C246" s="140">
        <f>'III. Data Inputs-BE'!$E$40</f>
        <v>31</v>
      </c>
      <c r="D246" s="452">
        <f>MIN(0.95, MAX(0.104,EXP(15175*(('III. Data Inputs-BE'!$C$40+273)-303.16)/(1.987*('III. Data Inputs-BE'!$C$40+273)*303.16))))</f>
        <v>0.104</v>
      </c>
      <c r="E246" s="300">
        <f t="shared" si="27"/>
        <v>0</v>
      </c>
      <c r="F246" s="148">
        <f>(E246*'III. Data Inputs-BE'!G77*'III. Data Inputs-BE'!$G$176*C246*0.8)+G246</f>
        <v>0</v>
      </c>
      <c r="G246" s="450">
        <f>IF('III. Data Inputs-BE'!$H$34=TRUE,0,IF('III. Data Inputs-BE'!$C$138="Yes",0,(F245-H245)*(1-INDEX('III. Data Inputs-BE'!$B$141:$D$154, MATCH('V. BE CH4,AS'!B245, 'III. Data Inputs-BE'!$B$141:$B$154,0), MATCH('V. BE CH4,AS'!$C$235,'III. Data Inputs-BE'!$B$141:$D$141,0)))))</f>
        <v>0</v>
      </c>
      <c r="H246" s="148">
        <f t="shared" si="29"/>
        <v>0</v>
      </c>
      <c r="I246" s="148">
        <f>IF('III. Data Inputs-BE'!D40=0,0,H246*'III. Data Inputs-BE'!$C$111*0.68*0.001)*('III. Data Inputs-BE'!G40/'III. Data Inputs-BE'!E40)</f>
        <v>0</v>
      </c>
      <c r="J246" s="148">
        <f t="shared" si="28"/>
        <v>0</v>
      </c>
      <c r="K246" s="36"/>
      <c r="L246" s="36"/>
      <c r="M246" s="36"/>
    </row>
    <row r="247" spans="1:94" x14ac:dyDescent="0.25">
      <c r="B247" s="292" t="str">
        <f>'III. Data Inputs-BE'!$B$41</f>
        <v>September</v>
      </c>
      <c r="C247" s="140">
        <f>'III. Data Inputs-BE'!$E$41</f>
        <v>30</v>
      </c>
      <c r="D247" s="452">
        <f>MIN(0.95, MAX(0.104,EXP(15175*(('III. Data Inputs-BE'!$C$41+273)-303.16)/(1.987*('III. Data Inputs-BE'!$C$41+273)*303.16))))</f>
        <v>0.104</v>
      </c>
      <c r="E247" s="300">
        <f t="shared" si="27"/>
        <v>0</v>
      </c>
      <c r="F247" s="148">
        <f>(E247*'III. Data Inputs-BE'!G78*'III. Data Inputs-BE'!$G$176*C247*0.8)+G247</f>
        <v>0</v>
      </c>
      <c r="G247" s="450">
        <f>IF('III. Data Inputs-BE'!$H$34=TRUE,0,IF('III. Data Inputs-BE'!$C$138="Yes",0,(F246-H246)*(1-INDEX('III. Data Inputs-BE'!$B$141:$D$154, MATCH('V. BE CH4,AS'!B246, 'III. Data Inputs-BE'!$B$141:$B$154,0), MATCH('V. BE CH4,AS'!$C$235,'III. Data Inputs-BE'!$B$141:$D$141,0)))))</f>
        <v>0</v>
      </c>
      <c r="H247" s="148">
        <f t="shared" si="29"/>
        <v>0</v>
      </c>
      <c r="I247" s="148">
        <f>IF('III. Data Inputs-BE'!D41=0,0,H247*'III. Data Inputs-BE'!$C$111*0.68*0.001)*('III. Data Inputs-BE'!G41/'III. Data Inputs-BE'!E41)</f>
        <v>0</v>
      </c>
      <c r="J247" s="148">
        <f t="shared" si="28"/>
        <v>0</v>
      </c>
      <c r="K247" s="96"/>
      <c r="L247" s="96"/>
      <c r="O247" s="46"/>
      <c r="P247" s="27"/>
    </row>
    <row r="248" spans="1:94" ht="13" x14ac:dyDescent="0.3">
      <c r="B248" s="292" t="str">
        <f>'III. Data Inputs-BE'!$B$42</f>
        <v>October</v>
      </c>
      <c r="C248" s="140">
        <f>'III. Data Inputs-BE'!$E$42</f>
        <v>31</v>
      </c>
      <c r="D248" s="452">
        <f>MIN(0.95, MAX(0.104,EXP(15175*(('III. Data Inputs-BE'!$C$42+273)-303.16)/(1.987*('III. Data Inputs-BE'!$C$42+273)*303.16))))</f>
        <v>0.104</v>
      </c>
      <c r="E248" s="300">
        <f t="shared" si="27"/>
        <v>0</v>
      </c>
      <c r="F248" s="148">
        <f>(E248*'III. Data Inputs-BE'!G79*'III. Data Inputs-BE'!$G$176*C248*0.8)+G248</f>
        <v>0</v>
      </c>
      <c r="G248" s="450">
        <f>IF('III. Data Inputs-BE'!$H$34=TRUE,0,IF('III. Data Inputs-BE'!$C$138="Yes",0,(F247-H247)*(1-INDEX('III. Data Inputs-BE'!$B$141:$D$154, MATCH('V. BE CH4,AS'!B247, 'III. Data Inputs-BE'!$B$141:$B$154,0), MATCH('V. BE CH4,AS'!$C$235,'III. Data Inputs-BE'!$B$141:$D$141,0)))))</f>
        <v>0</v>
      </c>
      <c r="H248" s="148">
        <f t="shared" si="29"/>
        <v>0</v>
      </c>
      <c r="I248" s="148">
        <f>IF('III. Data Inputs-BE'!D42=0,0,H248*'III. Data Inputs-BE'!$C$111*0.68*0.001)*('III. Data Inputs-BE'!G42/'III. Data Inputs-BE'!E42)</f>
        <v>0</v>
      </c>
      <c r="J248" s="148">
        <f t="shared" si="28"/>
        <v>0</v>
      </c>
      <c r="N248" s="3"/>
      <c r="O248" s="46"/>
    </row>
    <row r="249" spans="1:94" x14ac:dyDescent="0.25">
      <c r="B249" s="292" t="str">
        <f>'III. Data Inputs-BE'!$B$43</f>
        <v>November</v>
      </c>
      <c r="C249" s="140">
        <f>'III. Data Inputs-BE'!$E$43</f>
        <v>30</v>
      </c>
      <c r="D249" s="452">
        <f>MIN(0.95, MAX(0.104,EXP(15175*(('III. Data Inputs-BE'!$C$43+273)-303.16)/(1.987*('III. Data Inputs-BE'!$C$43+273)*303.16))))</f>
        <v>0.104</v>
      </c>
      <c r="E249" s="300">
        <f t="shared" si="27"/>
        <v>0</v>
      </c>
      <c r="F249" s="148">
        <f>(E249*'III. Data Inputs-BE'!G80*'III. Data Inputs-BE'!$G$176*C249*0.8)+G249</f>
        <v>0</v>
      </c>
      <c r="G249" s="450">
        <f>IF('III. Data Inputs-BE'!$H$34=TRUE,0,IF('III. Data Inputs-BE'!$C$138="Yes",0,(F248-H248)*(1-INDEX('III. Data Inputs-BE'!$B$141:$D$154, MATCH('V. BE CH4,AS'!B248, 'III. Data Inputs-BE'!$B$141:$B$154,0), MATCH('V. BE CH4,AS'!$C$235,'III. Data Inputs-BE'!$B$141:$D$141,0)))))</f>
        <v>0</v>
      </c>
      <c r="H249" s="148">
        <f t="shared" si="29"/>
        <v>0</v>
      </c>
      <c r="I249" s="148">
        <f>IF('III. Data Inputs-BE'!D43=0,0,H249*'III. Data Inputs-BE'!$C$111*0.68*0.001)*('III. Data Inputs-BE'!G43/'III. Data Inputs-BE'!E43)</f>
        <v>0</v>
      </c>
      <c r="J249" s="148">
        <f t="shared" si="28"/>
        <v>0</v>
      </c>
    </row>
    <row r="250" spans="1:94" x14ac:dyDescent="0.25">
      <c r="B250" s="528" t="str">
        <f>'III. Data Inputs-BE'!$B$44</f>
        <v>December</v>
      </c>
      <c r="C250" s="464">
        <f>'III. Data Inputs-BE'!$E$44</f>
        <v>31</v>
      </c>
      <c r="D250" s="452">
        <f>MIN(0.95, MAX(0.104,EXP(15175*(('III. Data Inputs-BE'!$C$44+273)-303.16)/(1.987*('III. Data Inputs-BE'!$C$44+273)*303.16))))</f>
        <v>0.104</v>
      </c>
      <c r="E250" s="466">
        <f t="shared" si="27"/>
        <v>0</v>
      </c>
      <c r="F250" s="465">
        <f>(E250*'III. Data Inputs-BE'!G81*'III. Data Inputs-BE'!$G$176*C250*0.8)+G250</f>
        <v>0</v>
      </c>
      <c r="G250" s="467">
        <f>IF('III. Data Inputs-BE'!$H$34=TRUE,0,IF('III. Data Inputs-BE'!$C$138="Yes",0,(F249-H249)*(1-INDEX('III. Data Inputs-BE'!$B$141:$D$154, MATCH('V. BE CH4,AS'!B249, 'III. Data Inputs-BE'!$B$141:$B$154,0), MATCH('V. BE CH4,AS'!$C$235,'III. Data Inputs-BE'!$B$141:$D$141,0)))))</f>
        <v>0</v>
      </c>
      <c r="H250" s="148">
        <f t="shared" si="29"/>
        <v>0</v>
      </c>
      <c r="I250" s="148">
        <f>IF('III. Data Inputs-BE'!D44=0,0,H250*'III. Data Inputs-BE'!$C$111*0.68*0.001)*('III. Data Inputs-BE'!G44/'III. Data Inputs-BE'!E44)</f>
        <v>0</v>
      </c>
      <c r="J250" s="148">
        <f t="shared" si="28"/>
        <v>0</v>
      </c>
    </row>
    <row r="251" spans="1:94" ht="13" x14ac:dyDescent="0.3">
      <c r="B251" s="525" t="s">
        <v>392</v>
      </c>
      <c r="C251" s="468"/>
      <c r="D251" s="456"/>
      <c r="E251" s="456"/>
      <c r="F251" s="469"/>
      <c r="G251" s="470"/>
      <c r="H251" s="471">
        <f>SUM(H239:H250)</f>
        <v>0</v>
      </c>
      <c r="I251" s="462">
        <f>SUM(I239:I250)</f>
        <v>0</v>
      </c>
      <c r="J251" s="462">
        <f>SUM(J239:J250)</f>
        <v>0</v>
      </c>
    </row>
    <row r="252" spans="1:94" ht="13" x14ac:dyDescent="0.3">
      <c r="B252" s="517"/>
      <c r="C252" s="3"/>
      <c r="D252" s="57"/>
      <c r="E252" s="57"/>
      <c r="F252" s="58"/>
      <c r="G252" s="58"/>
      <c r="H252" s="58"/>
      <c r="I252" s="58"/>
      <c r="J252" s="58"/>
    </row>
    <row r="253" spans="1:94" s="60" customFormat="1" ht="13" x14ac:dyDescent="0.3">
      <c r="A253" s="13"/>
      <c r="B253" s="526" t="s">
        <v>393</v>
      </c>
      <c r="C253" s="428"/>
      <c r="D253" s="460"/>
      <c r="E253" s="460"/>
      <c r="F253" s="461"/>
      <c r="G253" s="472">
        <f>F250-H250</f>
        <v>0</v>
      </c>
      <c r="H253" s="58"/>
      <c r="I253" s="58"/>
      <c r="J253" s="58"/>
      <c r="K253" s="13"/>
      <c r="L253" s="13"/>
      <c r="M253" s="13"/>
      <c r="N253" s="13"/>
      <c r="O253" s="13"/>
      <c r="P253" s="13"/>
      <c r="Q253" s="13"/>
      <c r="R253" s="13"/>
      <c r="S253" s="13"/>
      <c r="T253" s="13"/>
      <c r="U253" s="13"/>
      <c r="V253" s="13"/>
      <c r="W253" s="13"/>
      <c r="X253" s="13"/>
      <c r="Y253" s="13"/>
      <c r="Z253" s="13"/>
      <c r="AA253" s="13"/>
      <c r="AB253" s="13"/>
      <c r="AC253" s="13"/>
      <c r="AD253" s="13"/>
      <c r="AE253" s="13"/>
      <c r="AF253" s="13"/>
      <c r="AG253" s="13"/>
      <c r="AH253" s="13"/>
      <c r="AI253" s="13"/>
      <c r="AJ253" s="13"/>
      <c r="AK253" s="13"/>
      <c r="AL253" s="13"/>
      <c r="AM253" s="13"/>
      <c r="AN253" s="13"/>
      <c r="AO253" s="13"/>
      <c r="AP253" s="13"/>
      <c r="AQ253" s="13"/>
      <c r="AR253" s="13"/>
      <c r="AS253" s="13"/>
      <c r="AT253" s="13"/>
      <c r="AU253" s="13"/>
      <c r="AV253" s="13"/>
      <c r="AW253" s="13"/>
      <c r="AX253" s="13"/>
      <c r="AY253" s="13"/>
      <c r="AZ253" s="13"/>
      <c r="BA253" s="13"/>
      <c r="BB253" s="13"/>
      <c r="BC253" s="13"/>
      <c r="BD253" s="13"/>
      <c r="BE253" s="13"/>
      <c r="BF253" s="13"/>
      <c r="BG253" s="13"/>
      <c r="BH253" s="13"/>
      <c r="BI253" s="13"/>
      <c r="BJ253" s="13"/>
      <c r="BK253" s="13"/>
      <c r="BL253" s="13"/>
      <c r="BM253" s="13"/>
      <c r="BN253" s="13"/>
      <c r="BO253" s="13"/>
      <c r="BP253" s="13"/>
      <c r="BQ253" s="13"/>
      <c r="BR253" s="13"/>
      <c r="BS253" s="13"/>
      <c r="BT253" s="13"/>
      <c r="BU253" s="13"/>
      <c r="BV253" s="13"/>
      <c r="BW253" s="13"/>
      <c r="BX253" s="13"/>
      <c r="BY253" s="13"/>
      <c r="BZ253" s="13"/>
      <c r="CA253" s="13"/>
      <c r="CB253" s="13"/>
      <c r="CC253" s="13"/>
      <c r="CD253" s="13"/>
      <c r="CE253" s="13"/>
      <c r="CF253" s="13"/>
      <c r="CG253" s="13"/>
      <c r="CH253" s="13"/>
      <c r="CI253" s="13"/>
      <c r="CJ253" s="13"/>
      <c r="CK253" s="13"/>
      <c r="CL253" s="13"/>
      <c r="CM253" s="13"/>
      <c r="CN253" s="13"/>
      <c r="CO253" s="13"/>
      <c r="CP253" s="13"/>
    </row>
    <row r="254" spans="1:94" ht="62.5" x14ac:dyDescent="0.3">
      <c r="G254" s="459" t="s">
        <v>394</v>
      </c>
      <c r="H254" s="58"/>
      <c r="I254" s="58"/>
      <c r="J254" s="58"/>
    </row>
    <row r="255" spans="1:94" ht="13" x14ac:dyDescent="0.3">
      <c r="B255" s="517"/>
      <c r="C255" s="4"/>
      <c r="E255" s="58"/>
      <c r="F255" s="57"/>
      <c r="G255" s="57"/>
      <c r="H255" s="57"/>
      <c r="I255" s="57"/>
      <c r="J255" s="57"/>
    </row>
    <row r="256" spans="1:94" ht="13" x14ac:dyDescent="0.25">
      <c r="B256" s="517"/>
      <c r="C256" s="46"/>
    </row>
    <row r="257" spans="2:13" ht="13" x14ac:dyDescent="0.25">
      <c r="B257" s="517"/>
      <c r="C257" s="46"/>
      <c r="E257" s="549" t="s">
        <v>229</v>
      </c>
      <c r="F257" s="554"/>
      <c r="G257" s="554"/>
      <c r="H257" s="554"/>
      <c r="I257" s="554"/>
      <c r="J257" s="554"/>
    </row>
    <row r="258" spans="2:13" ht="13" x14ac:dyDescent="0.25">
      <c r="B258" s="517"/>
      <c r="C258" s="46"/>
      <c r="E258" s="554"/>
      <c r="F258" s="554"/>
      <c r="G258" s="554"/>
      <c r="H258" s="554"/>
      <c r="I258" s="554"/>
      <c r="J258" s="554"/>
    </row>
    <row r="259" spans="2:13" ht="39" x14ac:dyDescent="0.3">
      <c r="B259" s="395" t="str">
        <f>'III. Data Inputs-BE'!B56</f>
        <v>Population 6</v>
      </c>
      <c r="C259" s="453" t="str">
        <f>'III. Data Inputs-BE'!B121</f>
        <v>Liquid/Slurry w/natural crust cover</v>
      </c>
      <c r="D259" s="138"/>
      <c r="E259" s="554"/>
      <c r="F259" s="554"/>
      <c r="G259" s="554"/>
      <c r="H259" s="554"/>
      <c r="I259" s="554"/>
      <c r="J259" s="554"/>
    </row>
    <row r="260" spans="2:13" ht="15" x14ac:dyDescent="0.3">
      <c r="B260" s="524" t="s">
        <v>383</v>
      </c>
      <c r="C260" s="454">
        <f>'III. Data Inputs-BE'!D98</f>
        <v>0</v>
      </c>
      <c r="E260" s="58"/>
      <c r="F260" s="57"/>
      <c r="G260" s="57"/>
      <c r="H260" s="57"/>
      <c r="I260" s="57"/>
      <c r="J260" s="57"/>
    </row>
    <row r="261" spans="2:13" ht="13" x14ac:dyDescent="0.3">
      <c r="B261" s="524"/>
      <c r="C261" s="128"/>
      <c r="E261" s="58"/>
      <c r="F261" s="57"/>
      <c r="G261" s="57"/>
      <c r="H261" s="57"/>
      <c r="I261" s="57"/>
      <c r="J261" s="57"/>
    </row>
    <row r="262" spans="2:13" s="3" customFormat="1" ht="29" x14ac:dyDescent="0.4">
      <c r="B262" s="369" t="s">
        <v>195</v>
      </c>
      <c r="C262" s="128" t="s">
        <v>384</v>
      </c>
      <c r="D262" s="447" t="s">
        <v>385</v>
      </c>
      <c r="E262" s="448" t="s">
        <v>386</v>
      </c>
      <c r="F262" s="435" t="s">
        <v>397</v>
      </c>
      <c r="G262" s="448" t="s">
        <v>388</v>
      </c>
      <c r="H262" s="435" t="s">
        <v>389</v>
      </c>
      <c r="I262" s="435" t="s">
        <v>390</v>
      </c>
      <c r="J262" s="435" t="s">
        <v>391</v>
      </c>
      <c r="K262" s="142"/>
      <c r="L262" s="142"/>
      <c r="M262" s="143"/>
    </row>
    <row r="263" spans="2:13" x14ac:dyDescent="0.25">
      <c r="B263" s="292" t="str">
        <f>'III. Data Inputs-BE'!$B$33</f>
        <v>January</v>
      </c>
      <c r="C263" s="140">
        <f>'III. Data Inputs-BE'!$E$33</f>
        <v>31</v>
      </c>
      <c r="D263" s="452">
        <f>MIN(0.95, MAX(0.104,EXP(15175*(('III. Data Inputs-BE'!$C$33+273)-303.16)/(1.987*('III. Data Inputs-BE'!$C$33+273)*303.16))))</f>
        <v>0.104</v>
      </c>
      <c r="E263" s="300">
        <f t="shared" ref="E263:E274" si="30">$C$260</f>
        <v>0</v>
      </c>
      <c r="F263" s="148">
        <f>(E263*'III. Data Inputs-BE'!H70*'III. Data Inputs-BE'!$H$175*C263*0.8)+G263</f>
        <v>0</v>
      </c>
      <c r="G263" s="449">
        <v>0</v>
      </c>
      <c r="H263" s="148">
        <f>F263*D263</f>
        <v>0</v>
      </c>
      <c r="I263" s="148">
        <f>IF('III. Data Inputs-BE'!D33=0,0,H263*'III. Data Inputs-BE'!$C$112*0.68*0.001)*('III. Data Inputs-BE'!G33/'III. Data Inputs-BE'!E33)</f>
        <v>0</v>
      </c>
      <c r="J263" s="148">
        <f t="shared" ref="J263:J274" si="31">I263*gwp_ch4</f>
        <v>0</v>
      </c>
      <c r="K263" s="36"/>
      <c r="L263" s="36"/>
      <c r="M263" s="36"/>
    </row>
    <row r="264" spans="2:13" x14ac:dyDescent="0.25">
      <c r="B264" s="292" t="str">
        <f>'III. Data Inputs-BE'!$B$34</f>
        <v>February</v>
      </c>
      <c r="C264" s="140">
        <f>'III. Data Inputs-BE'!$E$34</f>
        <v>28</v>
      </c>
      <c r="D264" s="452">
        <f>MIN(0.95, MAX(0.104,EXP(15175*(('III. Data Inputs-BE'!$C$34+273)-303.16)/(1.987*('III. Data Inputs-BE'!$C$34+273)*303.16))))</f>
        <v>0.104</v>
      </c>
      <c r="E264" s="300">
        <f t="shared" si="30"/>
        <v>0</v>
      </c>
      <c r="F264" s="148">
        <f>(E264*'III. Data Inputs-BE'!H71*'III. Data Inputs-BE'!$H$175*C264*0.8)+G264</f>
        <v>0</v>
      </c>
      <c r="G264" s="450">
        <f>IF('III. Data Inputs-BE'!$H$34=TRUE,0,IF('III. Data Inputs-BE'!$C$138="Yes",0,(F263-H263)*(1-INDEX('III. Data Inputs-BE'!$B$141:$D$154, MATCH('V. BE CH4,AS'!B263, 'III. Data Inputs-BE'!$B$141:$B$154,0), MATCH('V. BE CH4,AS'!$C$259,'III. Data Inputs-BE'!$B$141:$D$141,0)))))</f>
        <v>0</v>
      </c>
      <c r="H264" s="148">
        <f t="shared" ref="H264:H274" si="32">F264*D264</f>
        <v>0</v>
      </c>
      <c r="I264" s="148">
        <f>IF('III. Data Inputs-BE'!D34=0,0,H264*'III. Data Inputs-BE'!$C$112*0.68*0.001)*('III. Data Inputs-BE'!G34/'III. Data Inputs-BE'!E34)</f>
        <v>0</v>
      </c>
      <c r="J264" s="148">
        <f t="shared" si="31"/>
        <v>0</v>
      </c>
      <c r="K264" s="96"/>
      <c r="L264" s="96"/>
    </row>
    <row r="265" spans="2:13" x14ac:dyDescent="0.25">
      <c r="B265" s="292" t="str">
        <f>'III. Data Inputs-BE'!$B$35</f>
        <v>March</v>
      </c>
      <c r="C265" s="140">
        <f>'III. Data Inputs-BE'!$E$35</f>
        <v>31</v>
      </c>
      <c r="D265" s="452">
        <f>MIN(0.95, MAX(0.104,EXP(15175*(('III. Data Inputs-BE'!$C$35+273)-303.16)/(1.987*('III. Data Inputs-BE'!$C$35+273)*303.16))))</f>
        <v>0.104</v>
      </c>
      <c r="E265" s="300">
        <f t="shared" si="30"/>
        <v>0</v>
      </c>
      <c r="F265" s="148">
        <f>(E265*'III. Data Inputs-BE'!H72*'III. Data Inputs-BE'!$H$175*C265*0.8)+G265</f>
        <v>0</v>
      </c>
      <c r="G265" s="450">
        <f>IF('III. Data Inputs-BE'!$H$34=TRUE,0,IF('III. Data Inputs-BE'!$C$138="Yes",0,(F264-H264)*(1-INDEX('III. Data Inputs-BE'!$B$141:$D$154, MATCH('V. BE CH4,AS'!B264, 'III. Data Inputs-BE'!$B$141:$B$154,0), MATCH('V. BE CH4,AS'!$C$259,'III. Data Inputs-BE'!$B$141:$D$141,0)))))</f>
        <v>0</v>
      </c>
      <c r="H265" s="148">
        <f t="shared" si="32"/>
        <v>0</v>
      </c>
      <c r="I265" s="148">
        <f>IF('III. Data Inputs-BE'!D35=0,0,H265*'III. Data Inputs-BE'!$C$112*0.68*0.001)*('III. Data Inputs-BE'!G35/'III. Data Inputs-BE'!E35)</f>
        <v>0</v>
      </c>
      <c r="J265" s="148">
        <f t="shared" si="31"/>
        <v>0</v>
      </c>
    </row>
    <row r="266" spans="2:13" x14ac:dyDescent="0.25">
      <c r="B266" s="292" t="str">
        <f>'III. Data Inputs-BE'!$B$36</f>
        <v>April</v>
      </c>
      <c r="C266" s="140">
        <f>'III. Data Inputs-BE'!$E$36</f>
        <v>30</v>
      </c>
      <c r="D266" s="452">
        <f>MIN(0.95, MAX(0.104,EXP(15175*(('III. Data Inputs-BE'!$C$36+273)-303.16)/(1.987*('III. Data Inputs-BE'!$C$36+273)*303.16))))</f>
        <v>0.104</v>
      </c>
      <c r="E266" s="300">
        <f t="shared" si="30"/>
        <v>0</v>
      </c>
      <c r="F266" s="148">
        <f>(E266*'III. Data Inputs-BE'!H73*'III. Data Inputs-BE'!$H$175*C266*0.8)+G266</f>
        <v>0</v>
      </c>
      <c r="G266" s="450">
        <f>IF('III. Data Inputs-BE'!$H$34=TRUE,0,IF('III. Data Inputs-BE'!$C$138="Yes",0,(F265-H265)*(1-INDEX('III. Data Inputs-BE'!$B$141:$D$154, MATCH('V. BE CH4,AS'!B265, 'III. Data Inputs-BE'!$B$141:$B$154,0), MATCH('V. BE CH4,AS'!$C$259,'III. Data Inputs-BE'!$B$141:$D$141,0)))))</f>
        <v>0</v>
      </c>
      <c r="H266" s="148">
        <f t="shared" si="32"/>
        <v>0</v>
      </c>
      <c r="I266" s="148">
        <f>IF('III. Data Inputs-BE'!D36=0,0,H266*'III. Data Inputs-BE'!$C$112*0.68*0.001)*('III. Data Inputs-BE'!G36/'III. Data Inputs-BE'!E36)</f>
        <v>0</v>
      </c>
      <c r="J266" s="148">
        <f t="shared" si="31"/>
        <v>0</v>
      </c>
    </row>
    <row r="267" spans="2:13" x14ac:dyDescent="0.25">
      <c r="B267" s="292" t="str">
        <f>'III. Data Inputs-BE'!$B$37</f>
        <v>May</v>
      </c>
      <c r="C267" s="140">
        <f>'III. Data Inputs-BE'!$E$37</f>
        <v>31</v>
      </c>
      <c r="D267" s="452">
        <f>MIN(0.95, MAX(0.104,EXP(15175*(('III. Data Inputs-BE'!$C$37+273)-303.16)/(1.987*('III. Data Inputs-BE'!$C$37+273)*303.16))))</f>
        <v>0.104</v>
      </c>
      <c r="E267" s="300">
        <f t="shared" si="30"/>
        <v>0</v>
      </c>
      <c r="F267" s="148">
        <f>(E267*'III. Data Inputs-BE'!H74*'III. Data Inputs-BE'!$H$175*C267*0.8)+G267</f>
        <v>0</v>
      </c>
      <c r="G267" s="450">
        <f>IF('III. Data Inputs-BE'!$H$34=TRUE,0,IF('III. Data Inputs-BE'!$C$138="Yes",0,(F266-H266)*(1-INDEX('III. Data Inputs-BE'!$B$141:$D$154, MATCH('V. BE CH4,AS'!B266, 'III. Data Inputs-BE'!$B$141:$B$154,0), MATCH('V. BE CH4,AS'!$C$259,'III. Data Inputs-BE'!$B$141:$D$141,0)))))</f>
        <v>0</v>
      </c>
      <c r="H267" s="148">
        <f t="shared" si="32"/>
        <v>0</v>
      </c>
      <c r="I267" s="148">
        <f>IF('III. Data Inputs-BE'!D37=0,0,H267*'III. Data Inputs-BE'!$C$112*0.68*0.001)*('III. Data Inputs-BE'!G37/'III. Data Inputs-BE'!E37)</f>
        <v>0</v>
      </c>
      <c r="J267" s="148">
        <f t="shared" si="31"/>
        <v>0</v>
      </c>
    </row>
    <row r="268" spans="2:13" x14ac:dyDescent="0.25">
      <c r="B268" s="292" t="str">
        <f>'III. Data Inputs-BE'!$B$38</f>
        <v>June</v>
      </c>
      <c r="C268" s="140">
        <f>'III. Data Inputs-BE'!$E$38</f>
        <v>30</v>
      </c>
      <c r="D268" s="452">
        <f>MIN(0.95, MAX(0.104,EXP(15175*(('III. Data Inputs-BE'!$C$38+273)-303.16)/(1.987*('III. Data Inputs-BE'!$C$38+273)*303.16))))</f>
        <v>0.104</v>
      </c>
      <c r="E268" s="300">
        <f t="shared" si="30"/>
        <v>0</v>
      </c>
      <c r="F268" s="148">
        <f>(E268*'III. Data Inputs-BE'!H75*'III. Data Inputs-BE'!$H$175*C268*0.8)+G268</f>
        <v>0</v>
      </c>
      <c r="G268" s="450">
        <f>IF('III. Data Inputs-BE'!$H$34=TRUE,0,IF('III. Data Inputs-BE'!$C$138="Yes",0,(F267-H267)*(1-INDEX('III. Data Inputs-BE'!$B$141:$D$154, MATCH('V. BE CH4,AS'!B267, 'III. Data Inputs-BE'!$B$141:$B$154,0), MATCH('V. BE CH4,AS'!$C$259,'III. Data Inputs-BE'!$B$141:$D$141,0)))))</f>
        <v>0</v>
      </c>
      <c r="H268" s="148">
        <f t="shared" si="32"/>
        <v>0</v>
      </c>
      <c r="I268" s="148">
        <f>IF('III. Data Inputs-BE'!D38=0,0,H268*'III. Data Inputs-BE'!$C$112*0.68*0.001)*('III. Data Inputs-BE'!G38/'III. Data Inputs-BE'!E38)</f>
        <v>0</v>
      </c>
      <c r="J268" s="148">
        <f t="shared" si="31"/>
        <v>0</v>
      </c>
    </row>
    <row r="269" spans="2:13" x14ac:dyDescent="0.25">
      <c r="B269" s="292" t="str">
        <f>'III. Data Inputs-BE'!$B$39</f>
        <v>July</v>
      </c>
      <c r="C269" s="140">
        <f>'III. Data Inputs-BE'!$E$39</f>
        <v>31</v>
      </c>
      <c r="D269" s="452">
        <f>MIN(0.95, MAX(0.104,EXP(15175*(('III. Data Inputs-BE'!$C$39+273)-303.16)/(1.987*('III. Data Inputs-BE'!$C$39+273)*303.16))))</f>
        <v>0.104</v>
      </c>
      <c r="E269" s="300">
        <f t="shared" si="30"/>
        <v>0</v>
      </c>
      <c r="F269" s="148">
        <f>(E269*'III. Data Inputs-BE'!H76*'III. Data Inputs-BE'!$H$175*C269*0.8)+G269</f>
        <v>0</v>
      </c>
      <c r="G269" s="450">
        <f>IF('III. Data Inputs-BE'!$H$34=TRUE,0,IF('III. Data Inputs-BE'!$C$138="Yes",0,(F268-H268)*(1-INDEX('III. Data Inputs-BE'!$B$141:$D$154, MATCH('V. BE CH4,AS'!B268, 'III. Data Inputs-BE'!$B$141:$B$154,0), MATCH('V. BE CH4,AS'!$C$259,'III. Data Inputs-BE'!$B$141:$D$141,0)))))</f>
        <v>0</v>
      </c>
      <c r="H269" s="148">
        <f t="shared" si="32"/>
        <v>0</v>
      </c>
      <c r="I269" s="148">
        <f>IF('III. Data Inputs-BE'!D39=0,0,H269*'III. Data Inputs-BE'!$C$112*0.68*0.001)*('III. Data Inputs-BE'!G39/'III. Data Inputs-BE'!E39)</f>
        <v>0</v>
      </c>
      <c r="J269" s="148">
        <f t="shared" si="31"/>
        <v>0</v>
      </c>
    </row>
    <row r="270" spans="2:13" x14ac:dyDescent="0.25">
      <c r="B270" s="292" t="str">
        <f>'III. Data Inputs-BE'!$B$40</f>
        <v>August</v>
      </c>
      <c r="C270" s="140">
        <f>'III. Data Inputs-BE'!$E$40</f>
        <v>31</v>
      </c>
      <c r="D270" s="452">
        <f>MIN(0.95, MAX(0.104,EXP(15175*(('III. Data Inputs-BE'!$C$40+273)-303.16)/(1.987*('III. Data Inputs-BE'!$C$40+273)*303.16))))</f>
        <v>0.104</v>
      </c>
      <c r="E270" s="300">
        <f t="shared" si="30"/>
        <v>0</v>
      </c>
      <c r="F270" s="148">
        <f>(E270*'III. Data Inputs-BE'!H77*'III. Data Inputs-BE'!$H$175*C270*0.8)+G270</f>
        <v>0</v>
      </c>
      <c r="G270" s="450">
        <f>IF('III. Data Inputs-BE'!$H$34=TRUE,0,IF('III. Data Inputs-BE'!$C$138="Yes",0,(F269-H269)*(1-INDEX('III. Data Inputs-BE'!$B$141:$D$154, MATCH('V. BE CH4,AS'!B269, 'III. Data Inputs-BE'!$B$141:$B$154,0), MATCH('V. BE CH4,AS'!$C$259,'III. Data Inputs-BE'!$B$141:$D$141,0)))))</f>
        <v>0</v>
      </c>
      <c r="H270" s="148">
        <f t="shared" si="32"/>
        <v>0</v>
      </c>
      <c r="I270" s="148">
        <f>IF('III. Data Inputs-BE'!D40=0,0,H270*'III. Data Inputs-BE'!$C$112*0.68*0.001)*('III. Data Inputs-BE'!G40/'III. Data Inputs-BE'!E40)</f>
        <v>0</v>
      </c>
      <c r="J270" s="148">
        <f t="shared" si="31"/>
        <v>0</v>
      </c>
    </row>
    <row r="271" spans="2:13" x14ac:dyDescent="0.25">
      <c r="B271" s="292" t="str">
        <f>'III. Data Inputs-BE'!$B$41</f>
        <v>September</v>
      </c>
      <c r="C271" s="140">
        <f>'III. Data Inputs-BE'!$E$41</f>
        <v>30</v>
      </c>
      <c r="D271" s="452">
        <f>MIN(0.95, MAX(0.104,EXP(15175*(('III. Data Inputs-BE'!$C$41+273)-303.16)/(1.987*('III. Data Inputs-BE'!$C$41+273)*303.16))))</f>
        <v>0.104</v>
      </c>
      <c r="E271" s="300">
        <f t="shared" si="30"/>
        <v>0</v>
      </c>
      <c r="F271" s="148">
        <f>(E271*'III. Data Inputs-BE'!H78*'III. Data Inputs-BE'!$H$175*C271*0.8)+G271</f>
        <v>0</v>
      </c>
      <c r="G271" s="450">
        <f>IF('III. Data Inputs-BE'!$H$34=TRUE,0,IF('III. Data Inputs-BE'!$C$138="Yes",0,(F270-H270)*(1-INDEX('III. Data Inputs-BE'!$B$141:$D$154, MATCH('V. BE CH4,AS'!B270, 'III. Data Inputs-BE'!$B$141:$B$154,0), MATCH('V. BE CH4,AS'!$C$259,'III. Data Inputs-BE'!$B$141:$D$141,0)))))</f>
        <v>0</v>
      </c>
      <c r="H271" s="148">
        <f t="shared" si="32"/>
        <v>0</v>
      </c>
      <c r="I271" s="148">
        <f>IF('III. Data Inputs-BE'!D41=0,0,H271*'III. Data Inputs-BE'!$C$112*0.68*0.001)*('III. Data Inputs-BE'!G41/'III. Data Inputs-BE'!E41)</f>
        <v>0</v>
      </c>
      <c r="J271" s="148">
        <f t="shared" si="31"/>
        <v>0</v>
      </c>
    </row>
    <row r="272" spans="2:13" x14ac:dyDescent="0.25">
      <c r="B272" s="292" t="str">
        <f>'III. Data Inputs-BE'!$B$42</f>
        <v>October</v>
      </c>
      <c r="C272" s="140">
        <f>'III. Data Inputs-BE'!$E$42</f>
        <v>31</v>
      </c>
      <c r="D272" s="452">
        <f>MIN(0.95, MAX(0.104,EXP(15175*(('III. Data Inputs-BE'!$C$42+273)-303.16)/(1.987*('III. Data Inputs-BE'!$C$42+273)*303.16))))</f>
        <v>0.104</v>
      </c>
      <c r="E272" s="300">
        <f t="shared" si="30"/>
        <v>0</v>
      </c>
      <c r="F272" s="148">
        <f>(E272*'III. Data Inputs-BE'!H79*'III. Data Inputs-BE'!$H$175*C272*0.8)+G272</f>
        <v>0</v>
      </c>
      <c r="G272" s="450">
        <f>IF('III. Data Inputs-BE'!$H$34=TRUE,0,IF('III. Data Inputs-BE'!$C$138="Yes",0,(F271-H271)*(1-INDEX('III. Data Inputs-BE'!$B$141:$D$154, MATCH('V. BE CH4,AS'!B271, 'III. Data Inputs-BE'!$B$141:$B$154,0), MATCH('V. BE CH4,AS'!$C$259,'III. Data Inputs-BE'!$B$141:$D$141,0)))))</f>
        <v>0</v>
      </c>
      <c r="H272" s="148">
        <f t="shared" si="32"/>
        <v>0</v>
      </c>
      <c r="I272" s="148">
        <f>IF('III. Data Inputs-BE'!D42=0,0,H272*'III. Data Inputs-BE'!$C$112*0.68*0.001)*('III. Data Inputs-BE'!G42/'III. Data Inputs-BE'!E42)</f>
        <v>0</v>
      </c>
      <c r="J272" s="148">
        <f t="shared" si="31"/>
        <v>0</v>
      </c>
    </row>
    <row r="273" spans="2:17" x14ac:dyDescent="0.25">
      <c r="B273" s="292" t="str">
        <f>'III. Data Inputs-BE'!$B$43</f>
        <v>November</v>
      </c>
      <c r="C273" s="140">
        <f>'III. Data Inputs-BE'!$E$43</f>
        <v>30</v>
      </c>
      <c r="D273" s="452">
        <f>MIN(0.95, MAX(0.104,EXP(15175*(('III. Data Inputs-BE'!$C$43+273)-303.16)/(1.987*('III. Data Inputs-BE'!$C$43+273)*303.16))))</f>
        <v>0.104</v>
      </c>
      <c r="E273" s="300">
        <f t="shared" si="30"/>
        <v>0</v>
      </c>
      <c r="F273" s="148">
        <f>(E273*'III. Data Inputs-BE'!H80*'III. Data Inputs-BE'!$H$175*C273*0.8)+G273</f>
        <v>0</v>
      </c>
      <c r="G273" s="450">
        <f>IF('III. Data Inputs-BE'!$H$34=TRUE,0,IF('III. Data Inputs-BE'!$C$138="Yes",0,(F272-H272)*(1-INDEX('III. Data Inputs-BE'!$B$141:$D$154, MATCH('V. BE CH4,AS'!B272, 'III. Data Inputs-BE'!$B$141:$B$154,0), MATCH('V. BE CH4,AS'!$C$259,'III. Data Inputs-BE'!$B$141:$D$141,0)))))</f>
        <v>0</v>
      </c>
      <c r="H273" s="148">
        <f t="shared" si="32"/>
        <v>0</v>
      </c>
      <c r="I273" s="148">
        <f>IF('III. Data Inputs-BE'!D43=0,0,H273*'III. Data Inputs-BE'!$C$112*0.68*0.001)*('III. Data Inputs-BE'!G43/'III. Data Inputs-BE'!E43)</f>
        <v>0</v>
      </c>
      <c r="J273" s="148">
        <f t="shared" si="31"/>
        <v>0</v>
      </c>
    </row>
    <row r="274" spans="2:17" x14ac:dyDescent="0.25">
      <c r="B274" s="528" t="str">
        <f>'III. Data Inputs-BE'!$B$44</f>
        <v>December</v>
      </c>
      <c r="C274" s="464">
        <f>'III. Data Inputs-BE'!$E$44</f>
        <v>31</v>
      </c>
      <c r="D274" s="452">
        <f>MIN(0.95, MAX(0.104,EXP(15175*(('III. Data Inputs-BE'!$C$44+273)-303.16)/(1.987*('III. Data Inputs-BE'!$C$44+273)*303.16))))</f>
        <v>0.104</v>
      </c>
      <c r="E274" s="466">
        <f t="shared" si="30"/>
        <v>0</v>
      </c>
      <c r="F274" s="465">
        <f>(E274*'III. Data Inputs-BE'!H81*'III. Data Inputs-BE'!$H$175*C274*0.8)+G274</f>
        <v>0</v>
      </c>
      <c r="G274" s="467">
        <f>IF('III. Data Inputs-BE'!$H$34=TRUE,0,IF('III. Data Inputs-BE'!$C$138="Yes",0,(F273-H273)*(1-INDEX('III. Data Inputs-BE'!$B$141:$D$154, MATCH('V. BE CH4,AS'!B273, 'III. Data Inputs-BE'!$B$141:$B$154,0), MATCH('V. BE CH4,AS'!$C$259,'III. Data Inputs-BE'!$B$141:$D$141,0)))))</f>
        <v>0</v>
      </c>
      <c r="H274" s="148">
        <f t="shared" si="32"/>
        <v>0</v>
      </c>
      <c r="I274" s="148">
        <f>IF('III. Data Inputs-BE'!D44=0,0,H274*'III. Data Inputs-BE'!$C$112*0.68*0.001)*('III. Data Inputs-BE'!G44/'III. Data Inputs-BE'!E44)</f>
        <v>0</v>
      </c>
      <c r="J274" s="148">
        <f t="shared" si="31"/>
        <v>0</v>
      </c>
    </row>
    <row r="275" spans="2:17" ht="13" x14ac:dyDescent="0.3">
      <c r="B275" s="525" t="s">
        <v>392</v>
      </c>
      <c r="C275" s="468"/>
      <c r="D275" s="456"/>
      <c r="E275" s="456"/>
      <c r="F275" s="469"/>
      <c r="G275" s="470"/>
      <c r="H275" s="471">
        <f>SUM(H263:H274)</f>
        <v>0</v>
      </c>
      <c r="I275" s="462">
        <f>SUM(I263:I274)</f>
        <v>0</v>
      </c>
      <c r="J275" s="462">
        <f>SUM(J263:J274)</f>
        <v>0</v>
      </c>
    </row>
    <row r="276" spans="2:17" ht="13" x14ac:dyDescent="0.3">
      <c r="B276" s="517"/>
      <c r="C276" s="3"/>
      <c r="D276" s="57"/>
      <c r="E276" s="57"/>
      <c r="F276" s="58"/>
      <c r="G276" s="58"/>
      <c r="H276" s="58"/>
      <c r="I276" s="58"/>
      <c r="J276" s="58"/>
    </row>
    <row r="277" spans="2:17" ht="13" x14ac:dyDescent="0.3">
      <c r="B277" s="526" t="s">
        <v>393</v>
      </c>
      <c r="C277" s="428"/>
      <c r="D277" s="460"/>
      <c r="E277" s="460"/>
      <c r="F277" s="461"/>
      <c r="G277" s="472">
        <f>F274-H274</f>
        <v>0</v>
      </c>
      <c r="H277" s="58"/>
      <c r="I277" s="58"/>
      <c r="J277" s="58"/>
    </row>
    <row r="278" spans="2:17" ht="62.5" x14ac:dyDescent="0.3">
      <c r="G278" s="459" t="s">
        <v>394</v>
      </c>
      <c r="H278" s="58"/>
      <c r="I278" s="58"/>
      <c r="J278" s="58"/>
    </row>
    <row r="279" spans="2:17" s="3" customFormat="1" ht="13" x14ac:dyDescent="0.3">
      <c r="B279" s="517"/>
      <c r="D279" s="57"/>
      <c r="E279" s="57"/>
      <c r="F279" s="58"/>
      <c r="G279" s="58"/>
      <c r="H279" s="58"/>
      <c r="I279" s="58"/>
      <c r="J279" s="58"/>
      <c r="K279" s="142"/>
      <c r="L279" s="142"/>
      <c r="M279" s="143"/>
      <c r="N279" s="143"/>
      <c r="O279" s="4"/>
      <c r="Q279" s="142"/>
    </row>
    <row r="280" spans="2:17" x14ac:dyDescent="0.25">
      <c r="F280" s="126"/>
      <c r="G280" s="126"/>
      <c r="H280" s="126"/>
      <c r="I280" s="126"/>
      <c r="J280" s="126"/>
      <c r="K280" s="96"/>
      <c r="L280" s="96"/>
      <c r="M280" s="96"/>
      <c r="N280" s="144"/>
      <c r="O280" s="96"/>
      <c r="P280" s="144"/>
      <c r="Q280" s="144"/>
    </row>
    <row r="281" spans="2:17" ht="13" x14ac:dyDescent="0.3">
      <c r="B281" s="39"/>
      <c r="C281" s="4"/>
      <c r="E281" s="549" t="s">
        <v>229</v>
      </c>
      <c r="F281" s="554"/>
      <c r="G281" s="554"/>
      <c r="H281" s="554"/>
      <c r="I281" s="554"/>
      <c r="J281" s="554"/>
      <c r="K281" s="4"/>
      <c r="L281" s="4"/>
      <c r="M281" s="4"/>
      <c r="O281" s="46"/>
    </row>
    <row r="282" spans="2:17" ht="13" x14ac:dyDescent="0.3">
      <c r="B282" s="517"/>
      <c r="C282" s="4"/>
      <c r="E282" s="554"/>
      <c r="F282" s="554"/>
      <c r="G282" s="554"/>
      <c r="H282" s="554"/>
      <c r="I282" s="554"/>
      <c r="J282" s="554"/>
      <c r="K282" s="4"/>
      <c r="L282" s="4"/>
      <c r="M282" s="4"/>
      <c r="O282" s="46"/>
    </row>
    <row r="283" spans="2:17" ht="13" x14ac:dyDescent="0.3">
      <c r="B283" s="395" t="str">
        <f>B259</f>
        <v>Population 6</v>
      </c>
      <c r="C283" s="453">
        <f>'III. Data Inputs-BE'!B122</f>
        <v>0</v>
      </c>
      <c r="D283" s="138"/>
      <c r="E283" s="554"/>
      <c r="F283" s="554"/>
      <c r="G283" s="554"/>
      <c r="H283" s="554"/>
      <c r="I283" s="554"/>
      <c r="J283" s="554"/>
      <c r="K283" s="4"/>
      <c r="L283" s="4"/>
      <c r="M283" s="4"/>
      <c r="O283" s="46"/>
    </row>
    <row r="284" spans="2:17" ht="15" x14ac:dyDescent="0.3">
      <c r="B284" s="524" t="s">
        <v>383</v>
      </c>
      <c r="C284" s="454">
        <f>C260</f>
        <v>0</v>
      </c>
      <c r="E284" s="58"/>
      <c r="F284" s="57"/>
      <c r="G284" s="57"/>
      <c r="H284" s="57"/>
      <c r="I284" s="57"/>
      <c r="J284" s="57"/>
      <c r="K284" s="36"/>
      <c r="L284" s="36"/>
      <c r="M284" s="36"/>
    </row>
    <row r="285" spans="2:17" ht="13" x14ac:dyDescent="0.3">
      <c r="B285" s="524"/>
      <c r="C285" s="128"/>
      <c r="E285" s="58"/>
      <c r="F285" s="57"/>
      <c r="G285" s="57"/>
      <c r="H285" s="57"/>
      <c r="I285" s="57"/>
      <c r="J285" s="57"/>
      <c r="K285" s="96"/>
      <c r="L285" s="96"/>
      <c r="O285" s="46"/>
      <c r="P285" s="27"/>
    </row>
    <row r="286" spans="2:17" ht="29" x14ac:dyDescent="0.4">
      <c r="B286" s="369" t="s">
        <v>195</v>
      </c>
      <c r="C286" s="128" t="s">
        <v>384</v>
      </c>
      <c r="D286" s="447" t="s">
        <v>385</v>
      </c>
      <c r="E286" s="448" t="s">
        <v>386</v>
      </c>
      <c r="F286" s="435" t="s">
        <v>387</v>
      </c>
      <c r="G286" s="448" t="s">
        <v>388</v>
      </c>
      <c r="H286" s="435" t="s">
        <v>389</v>
      </c>
      <c r="I286" s="435" t="s">
        <v>390</v>
      </c>
      <c r="J286" s="435" t="s">
        <v>391</v>
      </c>
      <c r="N286" s="3"/>
      <c r="O286" s="46"/>
    </row>
    <row r="287" spans="2:17" x14ac:dyDescent="0.25">
      <c r="B287" s="292" t="str">
        <f>'III. Data Inputs-BE'!$B$33</f>
        <v>January</v>
      </c>
      <c r="C287" s="140">
        <f>'III. Data Inputs-BE'!$E$33</f>
        <v>31</v>
      </c>
      <c r="D287" s="452">
        <f>MIN(0.95, MAX(0.104,EXP(15175*(('III. Data Inputs-BE'!$C$33+273)-303.16)/(1.987*('III. Data Inputs-BE'!$C$33+273)*303.16))))</f>
        <v>0.104</v>
      </c>
      <c r="E287" s="300">
        <f t="shared" ref="E287:E298" si="33">$C$284</f>
        <v>0</v>
      </c>
      <c r="F287" s="148">
        <f>(E287*'III. Data Inputs-BE'!H70*'III. Data Inputs-BE'!$H$176*C287*0.8)+G287</f>
        <v>0</v>
      </c>
      <c r="G287" s="449">
        <v>0</v>
      </c>
      <c r="H287" s="148">
        <f>F287*D287</f>
        <v>0</v>
      </c>
      <c r="I287" s="148">
        <f>IF('III. Data Inputs-BE'!D33=0,0,H287*'III. Data Inputs-BE'!$C$112*0.68*0.001)*('III. Data Inputs-BE'!G33/'III. Data Inputs-BE'!E33)</f>
        <v>0</v>
      </c>
      <c r="J287" s="148">
        <f t="shared" ref="J287:J298" si="34">I287*gwp_ch4</f>
        <v>0</v>
      </c>
    </row>
    <row r="288" spans="2:17" x14ac:dyDescent="0.25">
      <c r="B288" s="292" t="str">
        <f>'III. Data Inputs-BE'!$B$34</f>
        <v>February</v>
      </c>
      <c r="C288" s="140">
        <f>'III. Data Inputs-BE'!$E$34</f>
        <v>28</v>
      </c>
      <c r="D288" s="452">
        <f>MIN(0.95, MAX(0.104,EXP(15175*(('III. Data Inputs-BE'!$C$34+273)-303.16)/(1.987*('III. Data Inputs-BE'!$C$34+273)*303.16))))</f>
        <v>0.104</v>
      </c>
      <c r="E288" s="300">
        <f t="shared" si="33"/>
        <v>0</v>
      </c>
      <c r="F288" s="148">
        <f>(E288*'III. Data Inputs-BE'!H71*'III. Data Inputs-BE'!$H$176*C288*0.8)+G288</f>
        <v>0</v>
      </c>
      <c r="G288" s="450">
        <f>IF('III. Data Inputs-BE'!$H$34=TRUE,0,IF('III. Data Inputs-BE'!$C$138="Yes",0,(F287-H287)*(1-INDEX('III. Data Inputs-BE'!$B$141:$D$154, MATCH('V. BE CH4,AS'!B287, 'III. Data Inputs-BE'!$B$141:$B$154,0), MATCH('V. BE CH4,AS'!$C$283,'III. Data Inputs-BE'!$B$141:$D$141,0)))))</f>
        <v>0</v>
      </c>
      <c r="H288" s="148">
        <f t="shared" ref="H288:H298" si="35">F288*D288</f>
        <v>0</v>
      </c>
      <c r="I288" s="148">
        <f>IF('III. Data Inputs-BE'!D34=0,0,H288*'III. Data Inputs-BE'!$C$112*0.68*0.001)*('III. Data Inputs-BE'!G34/'III. Data Inputs-BE'!E34)</f>
        <v>0</v>
      </c>
      <c r="J288" s="148">
        <f t="shared" si="34"/>
        <v>0</v>
      </c>
    </row>
    <row r="289" spans="1:94" x14ac:dyDescent="0.25">
      <c r="B289" s="292" t="str">
        <f>'III. Data Inputs-BE'!$B$35</f>
        <v>March</v>
      </c>
      <c r="C289" s="140">
        <f>'III. Data Inputs-BE'!$E$35</f>
        <v>31</v>
      </c>
      <c r="D289" s="452">
        <f>MIN(0.95, MAX(0.104,EXP(15175*(('III. Data Inputs-BE'!$C$35+273)-303.16)/(1.987*('III. Data Inputs-BE'!$C$35+273)*303.16))))</f>
        <v>0.104</v>
      </c>
      <c r="E289" s="300">
        <f t="shared" si="33"/>
        <v>0</v>
      </c>
      <c r="F289" s="148">
        <f>(E289*'III. Data Inputs-BE'!H72*'III. Data Inputs-BE'!$H$176*C289*0.8)+G289</f>
        <v>0</v>
      </c>
      <c r="G289" s="450">
        <f>IF('III. Data Inputs-BE'!$H$34=TRUE,0,IF('III. Data Inputs-BE'!$C$138="Yes",0,(F288-H288)*(1-INDEX('III. Data Inputs-BE'!$B$141:$D$154, MATCH('V. BE CH4,AS'!B288, 'III. Data Inputs-BE'!$B$141:$B$154,0), MATCH('V. BE CH4,AS'!$C$283,'III. Data Inputs-BE'!$B$141:$D$141,0)))))</f>
        <v>0</v>
      </c>
      <c r="H289" s="148">
        <f t="shared" si="35"/>
        <v>0</v>
      </c>
      <c r="I289" s="148">
        <f>IF('III. Data Inputs-BE'!D35=0,0,H289*'III. Data Inputs-BE'!$C$112*0.68*0.001)*('III. Data Inputs-BE'!G35/'III. Data Inputs-BE'!E35)</f>
        <v>0</v>
      </c>
      <c r="J289" s="148">
        <f t="shared" si="34"/>
        <v>0</v>
      </c>
    </row>
    <row r="290" spans="1:94" x14ac:dyDescent="0.25">
      <c r="B290" s="292" t="str">
        <f>'III. Data Inputs-BE'!$B$36</f>
        <v>April</v>
      </c>
      <c r="C290" s="140">
        <f>'III. Data Inputs-BE'!$E$36</f>
        <v>30</v>
      </c>
      <c r="D290" s="452">
        <f>MIN(0.95, MAX(0.104,EXP(15175*(('III. Data Inputs-BE'!$C$36+273)-303.16)/(1.987*('III. Data Inputs-BE'!$C$36+273)*303.16))))</f>
        <v>0.104</v>
      </c>
      <c r="E290" s="300">
        <f t="shared" si="33"/>
        <v>0</v>
      </c>
      <c r="F290" s="148">
        <f>(E290*'III. Data Inputs-BE'!H73*'III. Data Inputs-BE'!$H$176*C290*0.8)+G290</f>
        <v>0</v>
      </c>
      <c r="G290" s="450">
        <f>IF('III. Data Inputs-BE'!$H$34=TRUE,0,IF('III. Data Inputs-BE'!$C$138="Yes",0,(F289-H289)*(1-INDEX('III. Data Inputs-BE'!$B$141:$D$154, MATCH('V. BE CH4,AS'!B289, 'III. Data Inputs-BE'!$B$141:$B$154,0), MATCH('V. BE CH4,AS'!$C$283,'III. Data Inputs-BE'!$B$141:$D$141,0)))))</f>
        <v>0</v>
      </c>
      <c r="H290" s="148">
        <f t="shared" si="35"/>
        <v>0</v>
      </c>
      <c r="I290" s="148">
        <f>IF('III. Data Inputs-BE'!D36=0,0,H290*'III. Data Inputs-BE'!$C$112*0.68*0.001)*('III. Data Inputs-BE'!G36/'III. Data Inputs-BE'!E36)</f>
        <v>0</v>
      </c>
      <c r="J290" s="148">
        <f t="shared" si="34"/>
        <v>0</v>
      </c>
    </row>
    <row r="291" spans="1:94" x14ac:dyDescent="0.25">
      <c r="B291" s="292" t="str">
        <f>'III. Data Inputs-BE'!$B$37</f>
        <v>May</v>
      </c>
      <c r="C291" s="140">
        <f>'III. Data Inputs-BE'!$E$37</f>
        <v>31</v>
      </c>
      <c r="D291" s="452">
        <f>MIN(0.95, MAX(0.104,EXP(15175*(('III. Data Inputs-BE'!$C$37+273)-303.16)/(1.987*('III. Data Inputs-BE'!$C$37+273)*303.16))))</f>
        <v>0.104</v>
      </c>
      <c r="E291" s="300">
        <f t="shared" si="33"/>
        <v>0</v>
      </c>
      <c r="F291" s="148">
        <f>(E291*'III. Data Inputs-BE'!H74*'III. Data Inputs-BE'!$H$176*C291*0.8)+G291</f>
        <v>0</v>
      </c>
      <c r="G291" s="450">
        <f>IF('III. Data Inputs-BE'!$H$34=TRUE,0,IF('III. Data Inputs-BE'!$C$138="Yes",0,(F290-H290)*(1-INDEX('III. Data Inputs-BE'!$B$141:$D$154, MATCH('V. BE CH4,AS'!B290, 'III. Data Inputs-BE'!$B$141:$B$154,0), MATCH('V. BE CH4,AS'!$C$283,'III. Data Inputs-BE'!$B$141:$D$141,0)))))</f>
        <v>0</v>
      </c>
      <c r="H291" s="148">
        <f t="shared" si="35"/>
        <v>0</v>
      </c>
      <c r="I291" s="148">
        <f>IF('III. Data Inputs-BE'!D37=0,0,H291*'III. Data Inputs-BE'!$C$112*0.68*0.001)*('III. Data Inputs-BE'!G37/'III. Data Inputs-BE'!E37)</f>
        <v>0</v>
      </c>
      <c r="J291" s="148">
        <f t="shared" si="34"/>
        <v>0</v>
      </c>
    </row>
    <row r="292" spans="1:94" x14ac:dyDescent="0.25">
      <c r="B292" s="292" t="str">
        <f>'III. Data Inputs-BE'!$B$38</f>
        <v>June</v>
      </c>
      <c r="C292" s="140">
        <f>'III. Data Inputs-BE'!$E$38</f>
        <v>30</v>
      </c>
      <c r="D292" s="452">
        <f>MIN(0.95, MAX(0.104,EXP(15175*(('III. Data Inputs-BE'!$C$38+273)-303.16)/(1.987*('III. Data Inputs-BE'!$C$38+273)*303.16))))</f>
        <v>0.104</v>
      </c>
      <c r="E292" s="300">
        <f t="shared" si="33"/>
        <v>0</v>
      </c>
      <c r="F292" s="148">
        <f>(E292*'III. Data Inputs-BE'!H75*'III. Data Inputs-BE'!$H$176*C292*0.8)+G292</f>
        <v>0</v>
      </c>
      <c r="G292" s="450">
        <f>IF('III. Data Inputs-BE'!$H$34=TRUE,0,IF('III. Data Inputs-BE'!$C$138="Yes",0,(F291-H291)*(1-INDEX('III. Data Inputs-BE'!$B$141:$D$154, MATCH('V. BE CH4,AS'!B291, 'III. Data Inputs-BE'!$B$141:$B$154,0), MATCH('V. BE CH4,AS'!$C$283,'III. Data Inputs-BE'!$B$141:$D$141,0)))))</f>
        <v>0</v>
      </c>
      <c r="H292" s="148">
        <f t="shared" si="35"/>
        <v>0</v>
      </c>
      <c r="I292" s="148">
        <f>IF('III. Data Inputs-BE'!D38=0,0,H292*'III. Data Inputs-BE'!$C$112*0.68*0.001)*('III. Data Inputs-BE'!G38/'III. Data Inputs-BE'!E38)</f>
        <v>0</v>
      </c>
      <c r="J292" s="148">
        <f t="shared" si="34"/>
        <v>0</v>
      </c>
    </row>
    <row r="293" spans="1:94" s="3" customFormat="1" ht="13" x14ac:dyDescent="0.3">
      <c r="B293" s="292" t="str">
        <f>'III. Data Inputs-BE'!$B$39</f>
        <v>July</v>
      </c>
      <c r="C293" s="140">
        <f>'III. Data Inputs-BE'!$E$39</f>
        <v>31</v>
      </c>
      <c r="D293" s="452">
        <f>MIN(0.95, MAX(0.104,EXP(15175*(('III. Data Inputs-BE'!$C$39+273)-303.16)/(1.987*('III. Data Inputs-BE'!$C$39+273)*303.16))))</f>
        <v>0.104</v>
      </c>
      <c r="E293" s="300">
        <f t="shared" si="33"/>
        <v>0</v>
      </c>
      <c r="F293" s="148">
        <f>(E293*'III. Data Inputs-BE'!H76*'III. Data Inputs-BE'!$H$176*C293*0.8)+G293</f>
        <v>0</v>
      </c>
      <c r="G293" s="450">
        <f>IF('III. Data Inputs-BE'!$H$34=TRUE,0,IF('III. Data Inputs-BE'!$C$138="Yes",0,(F292-H292)*(1-INDEX('III. Data Inputs-BE'!$B$141:$D$154, MATCH('V. BE CH4,AS'!B292, 'III. Data Inputs-BE'!$B$141:$B$154,0), MATCH('V. BE CH4,AS'!$C$283,'III. Data Inputs-BE'!$B$141:$D$141,0)))))</f>
        <v>0</v>
      </c>
      <c r="H293" s="148">
        <f t="shared" si="35"/>
        <v>0</v>
      </c>
      <c r="I293" s="148">
        <f>IF('III. Data Inputs-BE'!D39=0,0,H293*'III. Data Inputs-BE'!$C$112*0.68*0.001)*('III. Data Inputs-BE'!G39/'III. Data Inputs-BE'!E39)</f>
        <v>0</v>
      </c>
      <c r="J293" s="148">
        <f t="shared" si="34"/>
        <v>0</v>
      </c>
      <c r="K293" s="142"/>
      <c r="L293" s="142"/>
      <c r="M293" s="143"/>
    </row>
    <row r="294" spans="1:94" x14ac:dyDescent="0.25">
      <c r="B294" s="292" t="str">
        <f>'III. Data Inputs-BE'!$B$40</f>
        <v>August</v>
      </c>
      <c r="C294" s="140">
        <f>'III. Data Inputs-BE'!$E$40</f>
        <v>31</v>
      </c>
      <c r="D294" s="452">
        <f>MIN(0.95, MAX(0.104,EXP(15175*(('III. Data Inputs-BE'!$C$40+273)-303.16)/(1.987*('III. Data Inputs-BE'!$C$40+273)*303.16))))</f>
        <v>0.104</v>
      </c>
      <c r="E294" s="300">
        <f t="shared" si="33"/>
        <v>0</v>
      </c>
      <c r="F294" s="148">
        <f>(E294*'III. Data Inputs-BE'!H77*'III. Data Inputs-BE'!$H$176*C294*0.8)+G294</f>
        <v>0</v>
      </c>
      <c r="G294" s="450">
        <f>IF('III. Data Inputs-BE'!$H$34=TRUE,0,IF('III. Data Inputs-BE'!$C$138="Yes",0,(F293-H293)*(1-INDEX('III. Data Inputs-BE'!$B$141:$D$154, MATCH('V. BE CH4,AS'!B293, 'III. Data Inputs-BE'!$B$141:$B$154,0), MATCH('V. BE CH4,AS'!$C$283,'III. Data Inputs-BE'!$B$141:$D$141,0)))))</f>
        <v>0</v>
      </c>
      <c r="H294" s="148">
        <f t="shared" si="35"/>
        <v>0</v>
      </c>
      <c r="I294" s="148">
        <f>IF('III. Data Inputs-BE'!D40=0,0,H294*'III. Data Inputs-BE'!$C$112*0.68*0.001)*('III. Data Inputs-BE'!G40/'III. Data Inputs-BE'!E40)</f>
        <v>0</v>
      </c>
      <c r="J294" s="148">
        <f t="shared" si="34"/>
        <v>0</v>
      </c>
    </row>
    <row r="295" spans="1:94" ht="13" x14ac:dyDescent="0.3">
      <c r="B295" s="292" t="str">
        <f>'III. Data Inputs-BE'!$B$41</f>
        <v>September</v>
      </c>
      <c r="C295" s="140">
        <f>'III. Data Inputs-BE'!$E$41</f>
        <v>30</v>
      </c>
      <c r="D295" s="452">
        <f>MIN(0.95, MAX(0.104,EXP(15175*(('III. Data Inputs-BE'!$C$41+273)-303.16)/(1.987*('III. Data Inputs-BE'!$C$41+273)*303.16))))</f>
        <v>0.104</v>
      </c>
      <c r="E295" s="300">
        <f t="shared" si="33"/>
        <v>0</v>
      </c>
      <c r="F295" s="148">
        <f>(E295*'III. Data Inputs-BE'!H78*'III. Data Inputs-BE'!$H$176*C295*0.8)+G295</f>
        <v>0</v>
      </c>
      <c r="G295" s="450">
        <f>IF('III. Data Inputs-BE'!$H$34=TRUE,0,IF('III. Data Inputs-BE'!$C$138="Yes",0,(F294-H294)*(1-INDEX('III. Data Inputs-BE'!$B$141:$D$154, MATCH('V. BE CH4,AS'!B294, 'III. Data Inputs-BE'!$B$141:$B$154,0), MATCH('V. BE CH4,AS'!$C$283,'III. Data Inputs-BE'!$B$141:$D$141,0)))))</f>
        <v>0</v>
      </c>
      <c r="H295" s="148">
        <f t="shared" si="35"/>
        <v>0</v>
      </c>
      <c r="I295" s="148">
        <f>IF('III. Data Inputs-BE'!D41=0,0,H295*'III. Data Inputs-BE'!$C$112*0.68*0.001)*('III. Data Inputs-BE'!G41/'III. Data Inputs-BE'!E41)</f>
        <v>0</v>
      </c>
      <c r="J295" s="148">
        <f t="shared" si="34"/>
        <v>0</v>
      </c>
      <c r="K295" s="4"/>
      <c r="L295" s="4"/>
      <c r="M295" s="4"/>
      <c r="O295" s="4"/>
      <c r="P295" s="36"/>
      <c r="Q295" s="36"/>
      <c r="R295" s="36"/>
    </row>
    <row r="296" spans="1:94" ht="13" x14ac:dyDescent="0.3">
      <c r="B296" s="292" t="str">
        <f>'III. Data Inputs-BE'!$B$42</f>
        <v>October</v>
      </c>
      <c r="C296" s="140">
        <f>'III. Data Inputs-BE'!$E$42</f>
        <v>31</v>
      </c>
      <c r="D296" s="452">
        <f>MIN(0.95, MAX(0.104,EXP(15175*(('III. Data Inputs-BE'!$C$42+273)-303.16)/(1.987*('III. Data Inputs-BE'!$C$42+273)*303.16))))</f>
        <v>0.104</v>
      </c>
      <c r="E296" s="300">
        <f t="shared" si="33"/>
        <v>0</v>
      </c>
      <c r="F296" s="148">
        <f>(E296*'III. Data Inputs-BE'!H79*'III. Data Inputs-BE'!$H$176*C296*0.8)+G296</f>
        <v>0</v>
      </c>
      <c r="G296" s="450">
        <f>IF('III. Data Inputs-BE'!$H$34=TRUE,0,IF('III. Data Inputs-BE'!$C$138="Yes",0,(F295-H295)*(1-INDEX('III. Data Inputs-BE'!$B$141:$D$154, MATCH('V. BE CH4,AS'!B295, 'III. Data Inputs-BE'!$B$141:$B$154,0), MATCH('V. BE CH4,AS'!$C$283,'III. Data Inputs-BE'!$B$141:$D$141,0)))))</f>
        <v>0</v>
      </c>
      <c r="H296" s="148">
        <f t="shared" si="35"/>
        <v>0</v>
      </c>
      <c r="I296" s="148">
        <f>IF('III. Data Inputs-BE'!D42=0,0,H296*'III. Data Inputs-BE'!$C$112*0.68*0.001)*('III. Data Inputs-BE'!G42/'III. Data Inputs-BE'!E42)</f>
        <v>0</v>
      </c>
      <c r="J296" s="148">
        <f t="shared" si="34"/>
        <v>0</v>
      </c>
      <c r="K296" s="4"/>
      <c r="L296" s="4"/>
      <c r="M296" s="4"/>
      <c r="O296" s="4"/>
      <c r="P296" s="36"/>
      <c r="Q296" s="36"/>
      <c r="R296" s="36"/>
    </row>
    <row r="297" spans="1:94" ht="13" x14ac:dyDescent="0.3">
      <c r="B297" s="292" t="str">
        <f>'III. Data Inputs-BE'!$B$43</f>
        <v>November</v>
      </c>
      <c r="C297" s="140">
        <f>'III. Data Inputs-BE'!$E$43</f>
        <v>30</v>
      </c>
      <c r="D297" s="452">
        <f>MIN(0.95, MAX(0.104,EXP(15175*(('III. Data Inputs-BE'!$C$43+273)-303.16)/(1.987*('III. Data Inputs-BE'!$C$43+273)*303.16))))</f>
        <v>0.104</v>
      </c>
      <c r="E297" s="300">
        <f t="shared" si="33"/>
        <v>0</v>
      </c>
      <c r="F297" s="148">
        <f>(E297*'III. Data Inputs-BE'!H80*'III. Data Inputs-BE'!$H$176*C297*0.8)+G297</f>
        <v>0</v>
      </c>
      <c r="G297" s="450">
        <f>IF('III. Data Inputs-BE'!$H$34=TRUE,0,IF('III. Data Inputs-BE'!$C$138="Yes",0,(F296-H296)*(1-INDEX('III. Data Inputs-BE'!$B$141:$D$154, MATCH('V. BE CH4,AS'!B296, 'III. Data Inputs-BE'!$B$141:$B$154,0), MATCH('V. BE CH4,AS'!$C$283,'III. Data Inputs-BE'!$B$141:$D$141,0)))))</f>
        <v>0</v>
      </c>
      <c r="H297" s="148">
        <f t="shared" si="35"/>
        <v>0</v>
      </c>
      <c r="I297" s="148">
        <f>IF('III. Data Inputs-BE'!D43=0,0,H297*'III. Data Inputs-BE'!$C$112*0.68*0.001)*('III. Data Inputs-BE'!G43/'III. Data Inputs-BE'!E43)</f>
        <v>0</v>
      </c>
      <c r="J297" s="148">
        <f t="shared" si="34"/>
        <v>0</v>
      </c>
      <c r="K297" s="4"/>
      <c r="L297" s="4"/>
      <c r="M297" s="4"/>
      <c r="O297" s="4"/>
      <c r="P297" s="36"/>
      <c r="Q297" s="36"/>
      <c r="R297" s="36"/>
    </row>
    <row r="298" spans="1:94" x14ac:dyDescent="0.25">
      <c r="B298" s="528" t="str">
        <f>'III. Data Inputs-BE'!$B$44</f>
        <v>December</v>
      </c>
      <c r="C298" s="464">
        <f>'III. Data Inputs-BE'!$E$44</f>
        <v>31</v>
      </c>
      <c r="D298" s="452">
        <f>MIN(0.95, MAX(0.104,EXP(15175*(('III. Data Inputs-BE'!$C$44+273)-303.16)/(1.987*('III. Data Inputs-BE'!$C$44+273)*303.16))))</f>
        <v>0.104</v>
      </c>
      <c r="E298" s="466">
        <f t="shared" si="33"/>
        <v>0</v>
      </c>
      <c r="F298" s="465">
        <f>(E298*'III. Data Inputs-BE'!H81*'III. Data Inputs-BE'!$H$176*C298*0.8)+G298</f>
        <v>0</v>
      </c>
      <c r="G298" s="467">
        <f>IF('III. Data Inputs-BE'!$H$34=TRUE,0,IF('III. Data Inputs-BE'!$C$138="Yes",0,(F297-H297)*(1-INDEX('III. Data Inputs-BE'!$B$141:$D$154, MATCH('V. BE CH4,AS'!B297, 'III. Data Inputs-BE'!$B$141:$B$154,0), MATCH('V. BE CH4,AS'!$C$283,'III. Data Inputs-BE'!$B$141:$D$141,0)))))</f>
        <v>0</v>
      </c>
      <c r="H298" s="148">
        <f t="shared" si="35"/>
        <v>0</v>
      </c>
      <c r="I298" s="148">
        <f>IF('III. Data Inputs-BE'!D44=0,0,H298*'III. Data Inputs-BE'!$C$112*0.68*0.001)*('III. Data Inputs-BE'!G44/'III. Data Inputs-BE'!E44)</f>
        <v>0</v>
      </c>
      <c r="J298" s="148">
        <f t="shared" si="34"/>
        <v>0</v>
      </c>
      <c r="K298" s="36"/>
      <c r="L298" s="36"/>
      <c r="M298" s="36"/>
    </row>
    <row r="299" spans="1:94" ht="13" x14ac:dyDescent="0.3">
      <c r="B299" s="525" t="s">
        <v>392</v>
      </c>
      <c r="C299" s="468"/>
      <c r="D299" s="456"/>
      <c r="E299" s="456"/>
      <c r="F299" s="469"/>
      <c r="G299" s="470"/>
      <c r="H299" s="471">
        <f>SUM(H287:H298)</f>
        <v>0</v>
      </c>
      <c r="I299" s="462">
        <f>SUM(I287:I298)</f>
        <v>0</v>
      </c>
      <c r="J299" s="462">
        <f>SUM(J287:J298)</f>
        <v>0</v>
      </c>
      <c r="K299" s="96"/>
      <c r="L299" s="96"/>
    </row>
    <row r="300" spans="1:94" ht="13" x14ac:dyDescent="0.3">
      <c r="B300" s="517"/>
      <c r="C300" s="3"/>
      <c r="D300" s="57"/>
      <c r="E300" s="57"/>
      <c r="F300" s="58"/>
      <c r="G300" s="58"/>
      <c r="H300" s="58"/>
      <c r="I300" s="58"/>
      <c r="J300" s="58"/>
      <c r="K300" s="96"/>
      <c r="L300" s="96"/>
    </row>
    <row r="301" spans="1:94" s="60" customFormat="1" ht="13" x14ac:dyDescent="0.3">
      <c r="A301" s="13"/>
      <c r="B301" s="526" t="s">
        <v>393</v>
      </c>
      <c r="C301" s="428"/>
      <c r="D301" s="460"/>
      <c r="E301" s="460"/>
      <c r="F301" s="461"/>
      <c r="G301" s="472">
        <f>F298-H298</f>
        <v>0</v>
      </c>
      <c r="H301" s="58"/>
      <c r="I301" s="58"/>
      <c r="J301" s="58"/>
      <c r="K301" s="96"/>
      <c r="L301" s="96"/>
      <c r="M301" s="13"/>
      <c r="N301" s="13"/>
      <c r="O301" s="13"/>
      <c r="P301" s="13"/>
      <c r="Q301" s="13"/>
      <c r="R301" s="13"/>
      <c r="S301" s="13"/>
      <c r="T301" s="13"/>
      <c r="U301" s="13"/>
      <c r="V301" s="13"/>
      <c r="W301" s="13"/>
      <c r="X301" s="13"/>
      <c r="Y301" s="13"/>
      <c r="Z301" s="13"/>
      <c r="AA301" s="13"/>
      <c r="AB301" s="13"/>
      <c r="AC301" s="13"/>
      <c r="AD301" s="13"/>
      <c r="AE301" s="13"/>
      <c r="AF301" s="13"/>
      <c r="AG301" s="13"/>
      <c r="AH301" s="13"/>
      <c r="AI301" s="13"/>
      <c r="AJ301" s="13"/>
      <c r="AK301" s="13"/>
      <c r="AL301" s="13"/>
      <c r="AM301" s="13"/>
      <c r="AN301" s="13"/>
      <c r="AO301" s="13"/>
      <c r="AP301" s="13"/>
      <c r="AQ301" s="13"/>
      <c r="AR301" s="13"/>
      <c r="AS301" s="13"/>
      <c r="AT301" s="13"/>
      <c r="AU301" s="13"/>
      <c r="AV301" s="13"/>
      <c r="AW301" s="13"/>
      <c r="AX301" s="13"/>
      <c r="AY301" s="13"/>
      <c r="AZ301" s="13"/>
      <c r="BA301" s="13"/>
      <c r="BB301" s="13"/>
      <c r="BC301" s="13"/>
      <c r="BD301" s="13"/>
      <c r="BE301" s="13"/>
      <c r="BF301" s="13"/>
      <c r="BG301" s="13"/>
      <c r="BH301" s="13"/>
      <c r="BI301" s="13"/>
      <c r="BJ301" s="13"/>
      <c r="BK301" s="13"/>
      <c r="BL301" s="13"/>
      <c r="BM301" s="13"/>
      <c r="BN301" s="13"/>
      <c r="BO301" s="13"/>
      <c r="BP301" s="13"/>
      <c r="BQ301" s="13"/>
      <c r="BR301" s="13"/>
      <c r="BS301" s="13"/>
      <c r="BT301" s="13"/>
      <c r="BU301" s="13"/>
      <c r="BV301" s="13"/>
      <c r="BW301" s="13"/>
      <c r="BX301" s="13"/>
      <c r="BY301" s="13"/>
      <c r="BZ301" s="13"/>
      <c r="CA301" s="13"/>
      <c r="CB301" s="13"/>
      <c r="CC301" s="13"/>
      <c r="CD301" s="13"/>
      <c r="CE301" s="13"/>
      <c r="CF301" s="13"/>
      <c r="CG301" s="13"/>
      <c r="CH301" s="13"/>
      <c r="CI301" s="13"/>
      <c r="CJ301" s="13"/>
      <c r="CK301" s="13"/>
      <c r="CL301" s="13"/>
      <c r="CM301" s="13"/>
      <c r="CN301" s="13"/>
      <c r="CO301" s="13"/>
      <c r="CP301" s="13"/>
    </row>
    <row r="302" spans="1:94" ht="62.5" x14ac:dyDescent="0.3">
      <c r="G302" s="459" t="s">
        <v>394</v>
      </c>
      <c r="H302" s="58"/>
      <c r="I302" s="58"/>
      <c r="J302" s="58"/>
      <c r="K302" s="96"/>
      <c r="L302" s="96"/>
    </row>
    <row r="303" spans="1:94" ht="13" x14ac:dyDescent="0.3">
      <c r="B303" s="517"/>
      <c r="C303" s="3"/>
      <c r="D303" s="57"/>
      <c r="E303" s="57"/>
      <c r="F303" s="58"/>
      <c r="G303" s="58"/>
      <c r="H303" s="58"/>
      <c r="I303" s="58"/>
      <c r="J303" s="58"/>
      <c r="K303" s="96"/>
      <c r="L303" s="96"/>
    </row>
    <row r="304" spans="1:94" ht="13" x14ac:dyDescent="0.25">
      <c r="B304" s="517"/>
      <c r="C304" s="46"/>
    </row>
    <row r="305" spans="2:16" ht="13" x14ac:dyDescent="0.25">
      <c r="B305" s="517"/>
      <c r="C305" s="46"/>
      <c r="E305" s="549" t="s">
        <v>229</v>
      </c>
      <c r="F305" s="554"/>
      <c r="G305" s="554"/>
      <c r="H305" s="554"/>
      <c r="I305" s="554"/>
      <c r="J305" s="554"/>
    </row>
    <row r="306" spans="2:16" ht="13" x14ac:dyDescent="0.25">
      <c r="B306" s="517"/>
      <c r="C306" s="46"/>
      <c r="E306" s="554"/>
      <c r="F306" s="554"/>
      <c r="G306" s="554"/>
      <c r="H306" s="554"/>
      <c r="I306" s="554"/>
      <c r="J306" s="554"/>
    </row>
    <row r="307" spans="2:16" ht="13" x14ac:dyDescent="0.25">
      <c r="B307" s="517"/>
      <c r="C307" s="46"/>
      <c r="E307" s="554"/>
      <c r="F307" s="554"/>
      <c r="G307" s="554"/>
      <c r="H307" s="554"/>
      <c r="I307" s="554"/>
      <c r="J307" s="554"/>
    </row>
    <row r="308" spans="2:16" ht="13" x14ac:dyDescent="0.25">
      <c r="B308" s="517"/>
      <c r="C308" s="46"/>
    </row>
    <row r="309" spans="2:16" ht="39" x14ac:dyDescent="0.3">
      <c r="B309" s="395" t="str">
        <f>'III. Data Inputs-BE'!B57</f>
        <v>Population 7</v>
      </c>
      <c r="C309" s="453" t="str">
        <f>'III. Data Inputs-BE'!B121</f>
        <v>Liquid/Slurry w/natural crust cover</v>
      </c>
      <c r="D309" s="138"/>
      <c r="E309" s="57"/>
      <c r="F309" s="57"/>
      <c r="G309" s="57"/>
      <c r="H309" s="57"/>
      <c r="I309" s="57"/>
      <c r="J309" s="57"/>
    </row>
    <row r="310" spans="2:16" ht="15" x14ac:dyDescent="0.3">
      <c r="B310" s="524" t="s">
        <v>383</v>
      </c>
      <c r="C310" s="454">
        <f>'III. Data Inputs-BE'!D99</f>
        <v>0</v>
      </c>
      <c r="E310" s="58"/>
      <c r="F310" s="57"/>
      <c r="G310" s="57"/>
      <c r="H310" s="57"/>
      <c r="I310" s="57"/>
      <c r="J310" s="57"/>
    </row>
    <row r="311" spans="2:16" ht="13" x14ac:dyDescent="0.3">
      <c r="B311" s="524"/>
      <c r="C311" s="128"/>
      <c r="E311" s="58"/>
      <c r="F311" s="57"/>
      <c r="G311" s="57"/>
      <c r="H311" s="57"/>
      <c r="I311" s="57"/>
      <c r="J311" s="57"/>
    </row>
    <row r="312" spans="2:16" ht="29" x14ac:dyDescent="0.4">
      <c r="B312" s="369" t="s">
        <v>195</v>
      </c>
      <c r="C312" s="128" t="s">
        <v>384</v>
      </c>
      <c r="D312" s="447" t="s">
        <v>385</v>
      </c>
      <c r="E312" s="448" t="s">
        <v>386</v>
      </c>
      <c r="F312" s="435" t="s">
        <v>387</v>
      </c>
      <c r="G312" s="448" t="s">
        <v>388</v>
      </c>
      <c r="H312" s="435" t="s">
        <v>389</v>
      </c>
      <c r="I312" s="435" t="s">
        <v>390</v>
      </c>
      <c r="J312" s="435" t="s">
        <v>391</v>
      </c>
    </row>
    <row r="313" spans="2:16" ht="13" x14ac:dyDescent="0.3">
      <c r="B313" s="292" t="str">
        <f>'III. Data Inputs-BE'!$B$33</f>
        <v>January</v>
      </c>
      <c r="C313" s="140">
        <f>'III. Data Inputs-BE'!$E$33</f>
        <v>31</v>
      </c>
      <c r="D313" s="452">
        <f>MIN(0.95, MAX(0.104,EXP(15175*(('III. Data Inputs-BE'!$C$33+273)-303.16)/(1.987*('III. Data Inputs-BE'!$C$33+273)*303.16))))</f>
        <v>0.104</v>
      </c>
      <c r="E313" s="300">
        <f t="shared" ref="E313:E324" si="36">$C$310</f>
        <v>0</v>
      </c>
      <c r="F313" s="148">
        <f>(E313*'III. Data Inputs-BE'!I70*'III. Data Inputs-BE'!$I$175*C313*0.8)+G313</f>
        <v>0</v>
      </c>
      <c r="G313" s="449">
        <v>0</v>
      </c>
      <c r="H313" s="148">
        <f>F313*D313</f>
        <v>0</v>
      </c>
      <c r="I313" s="148">
        <f>IF('III. Data Inputs-BE'!D33=0,0,H313*'III. Data Inputs-BE'!$C$113*0.68*0.001)*('III. Data Inputs-BE'!G33/'III. Data Inputs-BE'!E33)</f>
        <v>0</v>
      </c>
      <c r="J313" s="148">
        <f t="shared" ref="J313:J324" si="37">I313*gwp_ch4</f>
        <v>0</v>
      </c>
      <c r="K313" s="4"/>
      <c r="L313" s="4"/>
      <c r="M313" s="4"/>
      <c r="O313" s="46"/>
    </row>
    <row r="314" spans="2:16" ht="13" x14ac:dyDescent="0.3">
      <c r="B314" s="292" t="str">
        <f>'III. Data Inputs-BE'!$B$34</f>
        <v>February</v>
      </c>
      <c r="C314" s="140">
        <f>'III. Data Inputs-BE'!$E$34</f>
        <v>28</v>
      </c>
      <c r="D314" s="452">
        <f>MIN(0.95, MAX(0.104,EXP(15175*(('III. Data Inputs-BE'!$C$34+273)-303.16)/(1.987*('III. Data Inputs-BE'!$C$34+273)*303.16))))</f>
        <v>0.104</v>
      </c>
      <c r="E314" s="300">
        <f t="shared" si="36"/>
        <v>0</v>
      </c>
      <c r="F314" s="148">
        <f>(E314*'III. Data Inputs-BE'!I71*'III. Data Inputs-BE'!$I$175*C314*0.8)+G314</f>
        <v>0</v>
      </c>
      <c r="G314" s="450">
        <f>IF('III. Data Inputs-BE'!$H$34=TRUE,0,IF('III. Data Inputs-BE'!$C$138="Yes",0,(F313-H313)*(1-INDEX('III. Data Inputs-BE'!$B$141:$D$154, MATCH('V. BE CH4,AS'!B313, 'III. Data Inputs-BE'!$B$141:$B$154,0), MATCH('V. BE CH4,AS'!$C$309,'III. Data Inputs-BE'!$B$141:$D$141,0)))))</f>
        <v>0</v>
      </c>
      <c r="H314" s="148">
        <f t="shared" ref="H314:H324" si="38">F314*D314</f>
        <v>0</v>
      </c>
      <c r="I314" s="148">
        <f>IF('III. Data Inputs-BE'!D34=0,0,H314*'III. Data Inputs-BE'!$C$113*0.68*0.001)*('III. Data Inputs-BE'!G34/'III. Data Inputs-BE'!E34)</f>
        <v>0</v>
      </c>
      <c r="J314" s="148">
        <f t="shared" si="37"/>
        <v>0</v>
      </c>
      <c r="K314" s="4"/>
      <c r="L314" s="4"/>
      <c r="M314" s="4"/>
      <c r="O314" s="46"/>
    </row>
    <row r="315" spans="2:16" ht="13" x14ac:dyDescent="0.3">
      <c r="B315" s="292" t="str">
        <f>'III. Data Inputs-BE'!$B$35</f>
        <v>March</v>
      </c>
      <c r="C315" s="140">
        <f>'III. Data Inputs-BE'!$E$35</f>
        <v>31</v>
      </c>
      <c r="D315" s="452">
        <f>MIN(0.95, MAX(0.104,EXP(15175*(('III. Data Inputs-BE'!$C$35+273)-303.16)/(1.987*('III. Data Inputs-BE'!$C$35+273)*303.16))))</f>
        <v>0.104</v>
      </c>
      <c r="E315" s="300">
        <f t="shared" si="36"/>
        <v>0</v>
      </c>
      <c r="F315" s="148">
        <f>(E315*'III. Data Inputs-BE'!I72*'III. Data Inputs-BE'!$I$175*C315*0.8)+G315</f>
        <v>0</v>
      </c>
      <c r="G315" s="450">
        <f>IF('III. Data Inputs-BE'!$H$34=TRUE,0,IF('III. Data Inputs-BE'!$C$138="Yes",0,(F314-H314)*(1-INDEX('III. Data Inputs-BE'!$B$141:$D$154, MATCH('V. BE CH4,AS'!B314, 'III. Data Inputs-BE'!$B$141:$B$154,0), MATCH('V. BE CH4,AS'!$C$309,'III. Data Inputs-BE'!$B$141:$D$141,0)))))</f>
        <v>0</v>
      </c>
      <c r="H315" s="148">
        <f t="shared" si="38"/>
        <v>0</v>
      </c>
      <c r="I315" s="148">
        <f>IF('III. Data Inputs-BE'!D35=0,0,H315*'III. Data Inputs-BE'!$C$113*0.68*0.001)*('III. Data Inputs-BE'!G35/'III. Data Inputs-BE'!E35)</f>
        <v>0</v>
      </c>
      <c r="J315" s="148">
        <f t="shared" si="37"/>
        <v>0</v>
      </c>
      <c r="K315" s="4"/>
      <c r="L315" s="4"/>
      <c r="M315" s="4"/>
      <c r="O315" s="46"/>
    </row>
    <row r="316" spans="2:16" x14ac:dyDescent="0.25">
      <c r="B316" s="292" t="str">
        <f>'III. Data Inputs-BE'!$B$36</f>
        <v>April</v>
      </c>
      <c r="C316" s="140">
        <f>'III. Data Inputs-BE'!$E$36</f>
        <v>30</v>
      </c>
      <c r="D316" s="452">
        <f>MIN(0.95, MAX(0.104,EXP(15175*(('III. Data Inputs-BE'!$C$36+273)-303.16)/(1.987*('III. Data Inputs-BE'!$C$36+273)*303.16))))</f>
        <v>0.104</v>
      </c>
      <c r="E316" s="300">
        <f t="shared" si="36"/>
        <v>0</v>
      </c>
      <c r="F316" s="148">
        <f>(E316*'III. Data Inputs-BE'!I73*'III. Data Inputs-BE'!$I$175*C316*0.8)+G316</f>
        <v>0</v>
      </c>
      <c r="G316" s="450">
        <f>IF('III. Data Inputs-BE'!$H$34=TRUE,0,IF('III. Data Inputs-BE'!$C$138="Yes",0,(F315-H315)*(1-INDEX('III. Data Inputs-BE'!$B$141:$D$154, MATCH('V. BE CH4,AS'!B315, 'III. Data Inputs-BE'!$B$141:$B$154,0), MATCH('V. BE CH4,AS'!$C$309,'III. Data Inputs-BE'!$B$141:$D$141,0)))))</f>
        <v>0</v>
      </c>
      <c r="H316" s="148">
        <f t="shared" si="38"/>
        <v>0</v>
      </c>
      <c r="I316" s="148">
        <f>IF('III. Data Inputs-BE'!D36=0,0,H316*'III. Data Inputs-BE'!$C$113*0.68*0.001)*('III. Data Inputs-BE'!G36/'III. Data Inputs-BE'!E36)</f>
        <v>0</v>
      </c>
      <c r="J316" s="148">
        <f t="shared" si="37"/>
        <v>0</v>
      </c>
      <c r="K316" s="36"/>
      <c r="L316" s="36"/>
      <c r="M316" s="36"/>
    </row>
    <row r="317" spans="2:16" x14ac:dyDescent="0.25">
      <c r="B317" s="292" t="str">
        <f>'III. Data Inputs-BE'!$B$37</f>
        <v>May</v>
      </c>
      <c r="C317" s="140">
        <f>'III. Data Inputs-BE'!$E$37</f>
        <v>31</v>
      </c>
      <c r="D317" s="452">
        <f>MIN(0.95, MAX(0.104,EXP(15175*(('III. Data Inputs-BE'!$C$37+273)-303.16)/(1.987*('III. Data Inputs-BE'!$C$37+273)*303.16))))</f>
        <v>0.104</v>
      </c>
      <c r="E317" s="300">
        <f t="shared" si="36"/>
        <v>0</v>
      </c>
      <c r="F317" s="148">
        <f>(E317*'III. Data Inputs-BE'!I74*'III. Data Inputs-BE'!$I$175*C317*0.8)+G317</f>
        <v>0</v>
      </c>
      <c r="G317" s="450">
        <f>IF('III. Data Inputs-BE'!$H$34=TRUE,0,IF('III. Data Inputs-BE'!$C$138="Yes",0,(F316-H316)*(1-INDEX('III. Data Inputs-BE'!$B$141:$D$154, MATCH('V. BE CH4,AS'!B316, 'III. Data Inputs-BE'!$B$141:$B$154,0), MATCH('V. BE CH4,AS'!$C$309,'III. Data Inputs-BE'!$B$141:$D$141,0)))))</f>
        <v>0</v>
      </c>
      <c r="H317" s="148">
        <f t="shared" si="38"/>
        <v>0</v>
      </c>
      <c r="I317" s="148">
        <f>IF('III. Data Inputs-BE'!D37=0,0,H317*'III. Data Inputs-BE'!$C$113*0.68*0.001)*('III. Data Inputs-BE'!G37/'III. Data Inputs-BE'!E37)</f>
        <v>0</v>
      </c>
      <c r="J317" s="148">
        <f t="shared" si="37"/>
        <v>0</v>
      </c>
      <c r="K317" s="96"/>
      <c r="L317" s="96"/>
      <c r="O317" s="46"/>
      <c r="P317" s="27"/>
    </row>
    <row r="318" spans="2:16" ht="13" x14ac:dyDescent="0.3">
      <c r="B318" s="292" t="str">
        <f>'III. Data Inputs-BE'!$B$38</f>
        <v>June</v>
      </c>
      <c r="C318" s="140">
        <f>'III. Data Inputs-BE'!$E$38</f>
        <v>30</v>
      </c>
      <c r="D318" s="452">
        <f>MIN(0.95, MAX(0.104,EXP(15175*(('III. Data Inputs-BE'!$C$38+273)-303.16)/(1.987*('III. Data Inputs-BE'!$C$38+273)*303.16))))</f>
        <v>0.104</v>
      </c>
      <c r="E318" s="300">
        <f t="shared" si="36"/>
        <v>0</v>
      </c>
      <c r="F318" s="148">
        <f>(E318*'III. Data Inputs-BE'!I75*'III. Data Inputs-BE'!$I$175*C318*0.8)+G318</f>
        <v>0</v>
      </c>
      <c r="G318" s="450">
        <f>IF('III. Data Inputs-BE'!$H$34=TRUE,0,IF('III. Data Inputs-BE'!$C$138="Yes",0,(F317-H317)*(1-INDEX('III. Data Inputs-BE'!$B$141:$D$154, MATCH('V. BE CH4,AS'!B317, 'III. Data Inputs-BE'!$B$141:$B$154,0), MATCH('V. BE CH4,AS'!$C$309,'III. Data Inputs-BE'!$B$141:$D$141,0)))))</f>
        <v>0</v>
      </c>
      <c r="H318" s="148">
        <f t="shared" si="38"/>
        <v>0</v>
      </c>
      <c r="I318" s="148">
        <f>IF('III. Data Inputs-BE'!D38=0,0,H318*'III. Data Inputs-BE'!$C$113*0.68*0.001)*('III. Data Inputs-BE'!G38/'III. Data Inputs-BE'!E38)</f>
        <v>0</v>
      </c>
      <c r="J318" s="148">
        <f t="shared" si="37"/>
        <v>0</v>
      </c>
      <c r="N318" s="3"/>
      <c r="O318" s="46"/>
    </row>
    <row r="319" spans="2:16" x14ac:dyDescent="0.25">
      <c r="B319" s="292" t="str">
        <f>'III. Data Inputs-BE'!$B$39</f>
        <v>July</v>
      </c>
      <c r="C319" s="140">
        <f>'III. Data Inputs-BE'!$E$39</f>
        <v>31</v>
      </c>
      <c r="D319" s="452">
        <f>MIN(0.95, MAX(0.104,EXP(15175*(('III. Data Inputs-BE'!$C$39+273)-303.16)/(1.987*('III. Data Inputs-BE'!$C$39+273)*303.16))))</f>
        <v>0.104</v>
      </c>
      <c r="E319" s="300">
        <f t="shared" si="36"/>
        <v>0</v>
      </c>
      <c r="F319" s="148">
        <f>(E319*'III. Data Inputs-BE'!I76*'III. Data Inputs-BE'!$I$175*C319*0.8)+G319</f>
        <v>0</v>
      </c>
      <c r="G319" s="450">
        <f>IF('III. Data Inputs-BE'!$H$34=TRUE,0,IF('III. Data Inputs-BE'!$C$138="Yes",0,(F318-H318)*(1-INDEX('III. Data Inputs-BE'!$B$141:$D$154, MATCH('V. BE CH4,AS'!B318, 'III. Data Inputs-BE'!$B$141:$B$154,0), MATCH('V. BE CH4,AS'!$C$309,'III. Data Inputs-BE'!$B$141:$D$141,0)))))</f>
        <v>0</v>
      </c>
      <c r="H319" s="148">
        <f t="shared" si="38"/>
        <v>0</v>
      </c>
      <c r="I319" s="148">
        <f>IF('III. Data Inputs-BE'!D39=0,0,H319*'III. Data Inputs-BE'!$C$113*0.68*0.001)*('III. Data Inputs-BE'!G39/'III. Data Inputs-BE'!E39)</f>
        <v>0</v>
      </c>
      <c r="J319" s="148">
        <f t="shared" si="37"/>
        <v>0</v>
      </c>
    </row>
    <row r="320" spans="2:16" x14ac:dyDescent="0.25">
      <c r="B320" s="292" t="str">
        <f>'III. Data Inputs-BE'!$B$40</f>
        <v>August</v>
      </c>
      <c r="C320" s="140">
        <f>'III. Data Inputs-BE'!$E$40</f>
        <v>31</v>
      </c>
      <c r="D320" s="452">
        <f>MIN(0.95, MAX(0.104,EXP(15175*(('III. Data Inputs-BE'!$C$40+273)-303.16)/(1.987*('III. Data Inputs-BE'!$C$40+273)*303.16))))</f>
        <v>0.104</v>
      </c>
      <c r="E320" s="300">
        <f t="shared" si="36"/>
        <v>0</v>
      </c>
      <c r="F320" s="148">
        <f>(E320*'III. Data Inputs-BE'!I77*'III. Data Inputs-BE'!$I$175*C320*0.8)+G320</f>
        <v>0</v>
      </c>
      <c r="G320" s="450">
        <f>IF('III. Data Inputs-BE'!$H$34=TRUE,0,IF('III. Data Inputs-BE'!$C$138="Yes",0,(F319-H319)*(1-INDEX('III. Data Inputs-BE'!$B$141:$D$154, MATCH('V. BE CH4,AS'!B319, 'III. Data Inputs-BE'!$B$141:$B$154,0), MATCH('V. BE CH4,AS'!$C$309,'III. Data Inputs-BE'!$B$141:$D$141,0)))))</f>
        <v>0</v>
      </c>
      <c r="H320" s="148">
        <f t="shared" si="38"/>
        <v>0</v>
      </c>
      <c r="I320" s="148">
        <f>IF('III. Data Inputs-BE'!D40=0,0,H320*'III. Data Inputs-BE'!$C$113*0.68*0.001)*('III. Data Inputs-BE'!G40/'III. Data Inputs-BE'!E40)</f>
        <v>0</v>
      </c>
      <c r="J320" s="148">
        <f t="shared" si="37"/>
        <v>0</v>
      </c>
    </row>
    <row r="321" spans="2:18" x14ac:dyDescent="0.25">
      <c r="B321" s="292" t="str">
        <f>'III. Data Inputs-BE'!$B$41</f>
        <v>September</v>
      </c>
      <c r="C321" s="140">
        <f>'III. Data Inputs-BE'!$E$41</f>
        <v>30</v>
      </c>
      <c r="D321" s="452">
        <f>MIN(0.95, MAX(0.104,EXP(15175*(('III. Data Inputs-BE'!$C$41+273)-303.16)/(1.987*('III. Data Inputs-BE'!$C$41+273)*303.16))))</f>
        <v>0.104</v>
      </c>
      <c r="E321" s="300">
        <f t="shared" si="36"/>
        <v>0</v>
      </c>
      <c r="F321" s="148">
        <f>(E321*'III. Data Inputs-BE'!I78*'III. Data Inputs-BE'!$I$175*C321*0.8)+G321</f>
        <v>0</v>
      </c>
      <c r="G321" s="450">
        <f>IF('III. Data Inputs-BE'!$H$34=TRUE,0,IF('III. Data Inputs-BE'!$C$138="Yes",0,(F320-H320)*(1-INDEX('III. Data Inputs-BE'!$B$141:$D$154, MATCH('V. BE CH4,AS'!B320, 'III. Data Inputs-BE'!$B$141:$B$154,0), MATCH('V. BE CH4,AS'!$C$309,'III. Data Inputs-BE'!$B$141:$D$141,0)))))</f>
        <v>0</v>
      </c>
      <c r="H321" s="148">
        <f t="shared" si="38"/>
        <v>0</v>
      </c>
      <c r="I321" s="148">
        <f>IF('III. Data Inputs-BE'!D41=0,0,H321*'III. Data Inputs-BE'!$C$113*0.68*0.001)*('III. Data Inputs-BE'!G41/'III. Data Inputs-BE'!E41)</f>
        <v>0</v>
      </c>
      <c r="J321" s="148">
        <f t="shared" si="37"/>
        <v>0</v>
      </c>
    </row>
    <row r="322" spans="2:18" x14ac:dyDescent="0.25">
      <c r="B322" s="292" t="str">
        <f>'III. Data Inputs-BE'!$B$42</f>
        <v>October</v>
      </c>
      <c r="C322" s="140">
        <f>'III. Data Inputs-BE'!$E$42</f>
        <v>31</v>
      </c>
      <c r="D322" s="452">
        <f>MIN(0.95, MAX(0.104,EXP(15175*(('III. Data Inputs-BE'!$C$42+273)-303.16)/(1.987*('III. Data Inputs-BE'!$C$42+273)*303.16))))</f>
        <v>0.104</v>
      </c>
      <c r="E322" s="300">
        <f t="shared" si="36"/>
        <v>0</v>
      </c>
      <c r="F322" s="148">
        <f>(E322*'III. Data Inputs-BE'!I79*'III. Data Inputs-BE'!$I$175*C322*0.8)+G322</f>
        <v>0</v>
      </c>
      <c r="G322" s="450">
        <f>IF('III. Data Inputs-BE'!$H$34=TRUE,0,IF('III. Data Inputs-BE'!$C$138="Yes",0,(F321-H321)*(1-INDEX('III. Data Inputs-BE'!$B$141:$D$154, MATCH('V. BE CH4,AS'!B321, 'III. Data Inputs-BE'!$B$141:$B$154,0), MATCH('V. BE CH4,AS'!$C$309,'III. Data Inputs-BE'!$B$141:$D$141,0)))))</f>
        <v>0</v>
      </c>
      <c r="H322" s="148">
        <f t="shared" si="38"/>
        <v>0</v>
      </c>
      <c r="I322" s="148">
        <f>IF('III. Data Inputs-BE'!D42=0,0,H322*'III. Data Inputs-BE'!$C$113*0.68*0.001)*('III. Data Inputs-BE'!G42/'III. Data Inputs-BE'!E42)</f>
        <v>0</v>
      </c>
      <c r="J322" s="148">
        <f t="shared" si="37"/>
        <v>0</v>
      </c>
    </row>
    <row r="323" spans="2:18" x14ac:dyDescent="0.25">
      <c r="B323" s="292" t="str">
        <f>'III. Data Inputs-BE'!$B$43</f>
        <v>November</v>
      </c>
      <c r="C323" s="140">
        <f>'III. Data Inputs-BE'!$E$43</f>
        <v>30</v>
      </c>
      <c r="D323" s="452">
        <f>MIN(0.95, MAX(0.104,EXP(15175*(('III. Data Inputs-BE'!$C$43+273)-303.16)/(1.987*('III. Data Inputs-BE'!$C$43+273)*303.16))))</f>
        <v>0.104</v>
      </c>
      <c r="E323" s="300">
        <f t="shared" si="36"/>
        <v>0</v>
      </c>
      <c r="F323" s="148">
        <f>(E323*'III. Data Inputs-BE'!I80*'III. Data Inputs-BE'!$I$175*C323*0.8)+G323</f>
        <v>0</v>
      </c>
      <c r="G323" s="450">
        <f>IF('III. Data Inputs-BE'!$H$34=TRUE,0,IF('III. Data Inputs-BE'!$C$138="Yes",0,(F322-H322)*(1-INDEX('III. Data Inputs-BE'!$B$141:$D$154, MATCH('V. BE CH4,AS'!B322, 'III. Data Inputs-BE'!$B$141:$B$154,0), MATCH('V. BE CH4,AS'!$C$309,'III. Data Inputs-BE'!$B$141:$D$141,0)))))</f>
        <v>0</v>
      </c>
      <c r="H323" s="148">
        <f t="shared" si="38"/>
        <v>0</v>
      </c>
      <c r="I323" s="148">
        <f>IF('III. Data Inputs-BE'!D43=0,0,H323*'III. Data Inputs-BE'!$C$113*0.68*0.001)*('III. Data Inputs-BE'!G43/'III. Data Inputs-BE'!E43)</f>
        <v>0</v>
      </c>
      <c r="J323" s="148">
        <f t="shared" si="37"/>
        <v>0</v>
      </c>
    </row>
    <row r="324" spans="2:18" x14ac:dyDescent="0.25">
      <c r="B324" s="528" t="str">
        <f>'III. Data Inputs-BE'!$B$44</f>
        <v>December</v>
      </c>
      <c r="C324" s="464">
        <f>'III. Data Inputs-BE'!$E$44</f>
        <v>31</v>
      </c>
      <c r="D324" s="452">
        <f>MIN(0.95, MAX(0.104,EXP(15175*(('III. Data Inputs-BE'!$C$44+273)-303.16)/(1.987*('III. Data Inputs-BE'!$C$44+273)*303.16))))</f>
        <v>0.104</v>
      </c>
      <c r="E324" s="466">
        <f t="shared" si="36"/>
        <v>0</v>
      </c>
      <c r="F324" s="465">
        <f>(E324*'III. Data Inputs-BE'!I81*'III. Data Inputs-BE'!$I$175*C324*0.8)+G324</f>
        <v>0</v>
      </c>
      <c r="G324" s="467">
        <f>IF('III. Data Inputs-BE'!$H$34=TRUE,0,IF('III. Data Inputs-BE'!$C$138="Yes",0,(F323-H323)*(1-INDEX('III. Data Inputs-BE'!$B$141:$D$154, MATCH('V. BE CH4,AS'!B323, 'III. Data Inputs-BE'!$B$141:$B$154,0), MATCH('V. BE CH4,AS'!$C$309,'III. Data Inputs-BE'!$B$141:$D$141,0)))))</f>
        <v>0</v>
      </c>
      <c r="H324" s="148">
        <f t="shared" si="38"/>
        <v>0</v>
      </c>
      <c r="I324" s="148">
        <f>IF('III. Data Inputs-BE'!D44=0,0,H324*'III. Data Inputs-BE'!$C$113*0.68*0.001)*('III. Data Inputs-BE'!G44/'III. Data Inputs-BE'!E44)</f>
        <v>0</v>
      </c>
      <c r="J324" s="148">
        <f t="shared" si="37"/>
        <v>0</v>
      </c>
    </row>
    <row r="325" spans="2:18" ht="13" x14ac:dyDescent="0.3">
      <c r="B325" s="525" t="s">
        <v>392</v>
      </c>
      <c r="C325" s="468"/>
      <c r="D325" s="456"/>
      <c r="E325" s="456"/>
      <c r="F325" s="469"/>
      <c r="G325" s="470"/>
      <c r="H325" s="471">
        <f>SUM(H313:H324)</f>
        <v>0</v>
      </c>
      <c r="I325" s="462">
        <f>SUM(I313:I324)</f>
        <v>0</v>
      </c>
      <c r="J325" s="462">
        <f>SUM(J313:J324)</f>
        <v>0</v>
      </c>
    </row>
    <row r="326" spans="2:18" ht="13" x14ac:dyDescent="0.3">
      <c r="B326" s="517"/>
      <c r="C326" s="3"/>
      <c r="D326" s="57"/>
      <c r="E326" s="57"/>
      <c r="F326" s="58"/>
      <c r="G326" s="58"/>
      <c r="H326" s="58"/>
      <c r="I326" s="58"/>
      <c r="J326" s="58"/>
    </row>
    <row r="327" spans="2:18" ht="13" x14ac:dyDescent="0.3">
      <c r="B327" s="526" t="s">
        <v>393</v>
      </c>
      <c r="C327" s="428"/>
      <c r="D327" s="460"/>
      <c r="E327" s="460"/>
      <c r="F327" s="461"/>
      <c r="G327" s="472">
        <f>F324-H324</f>
        <v>0</v>
      </c>
      <c r="H327" s="58"/>
      <c r="I327" s="58"/>
      <c r="J327" s="58"/>
    </row>
    <row r="328" spans="2:18" ht="62.5" x14ac:dyDescent="0.3">
      <c r="G328" s="459" t="s">
        <v>394</v>
      </c>
      <c r="H328" s="58"/>
      <c r="I328" s="58"/>
      <c r="J328" s="58"/>
    </row>
    <row r="329" spans="2:18" ht="13" x14ac:dyDescent="0.25">
      <c r="B329" s="517"/>
      <c r="C329" s="46"/>
    </row>
    <row r="330" spans="2:18" ht="13" x14ac:dyDescent="0.25">
      <c r="B330" s="517"/>
      <c r="C330" s="46"/>
    </row>
    <row r="331" spans="2:18" ht="13" x14ac:dyDescent="0.25">
      <c r="B331" s="517"/>
      <c r="C331" s="46"/>
      <c r="E331" s="549" t="s">
        <v>229</v>
      </c>
      <c r="F331" s="549"/>
      <c r="G331" s="549"/>
      <c r="H331" s="549"/>
      <c r="I331" s="549"/>
      <c r="J331" s="549"/>
    </row>
    <row r="332" spans="2:18" s="3" customFormat="1" ht="13" x14ac:dyDescent="0.3">
      <c r="B332" s="517"/>
      <c r="D332" s="57"/>
      <c r="E332" s="549"/>
      <c r="F332" s="549"/>
      <c r="G332" s="549"/>
      <c r="H332" s="549"/>
      <c r="I332" s="549"/>
      <c r="J332" s="549"/>
      <c r="K332" s="142"/>
      <c r="L332" s="142"/>
      <c r="M332" s="143"/>
    </row>
    <row r="333" spans="2:18" ht="13" x14ac:dyDescent="0.3">
      <c r="B333" s="395" t="str">
        <f>B309</f>
        <v>Population 7</v>
      </c>
      <c r="C333" s="453">
        <f>'III. Data Inputs-BE'!B122</f>
        <v>0</v>
      </c>
      <c r="D333" s="138"/>
      <c r="E333" s="549"/>
      <c r="F333" s="549"/>
      <c r="G333" s="549"/>
      <c r="H333" s="549"/>
      <c r="I333" s="549"/>
      <c r="J333" s="549"/>
    </row>
    <row r="334" spans="2:18" ht="15" x14ac:dyDescent="0.3">
      <c r="B334" s="524" t="s">
        <v>383</v>
      </c>
      <c r="C334" s="454">
        <f>C310</f>
        <v>0</v>
      </c>
      <c r="E334" s="58"/>
      <c r="F334" s="57"/>
      <c r="G334" s="57"/>
      <c r="H334" s="57"/>
      <c r="I334" s="57"/>
      <c r="J334" s="57"/>
      <c r="K334" s="4"/>
      <c r="L334" s="4"/>
      <c r="M334" s="4"/>
      <c r="O334" s="4"/>
      <c r="P334" s="36"/>
      <c r="Q334" s="36"/>
      <c r="R334" s="36"/>
    </row>
    <row r="335" spans="2:18" ht="13" x14ac:dyDescent="0.3">
      <c r="B335" s="524"/>
      <c r="C335" s="128"/>
      <c r="E335" s="58"/>
      <c r="F335" s="57"/>
      <c r="G335" s="57"/>
      <c r="H335" s="57"/>
      <c r="I335" s="57"/>
      <c r="J335" s="57"/>
      <c r="K335" s="4"/>
      <c r="L335" s="4"/>
      <c r="M335" s="4"/>
      <c r="O335" s="4"/>
      <c r="P335" s="36"/>
      <c r="Q335" s="36"/>
      <c r="R335" s="36"/>
    </row>
    <row r="336" spans="2:18" ht="29" x14ac:dyDescent="0.4">
      <c r="B336" s="369" t="s">
        <v>195</v>
      </c>
      <c r="C336" s="128" t="s">
        <v>384</v>
      </c>
      <c r="D336" s="447" t="s">
        <v>385</v>
      </c>
      <c r="E336" s="448" t="s">
        <v>386</v>
      </c>
      <c r="F336" s="435" t="s">
        <v>387</v>
      </c>
      <c r="G336" s="448" t="s">
        <v>388</v>
      </c>
      <c r="H336" s="435" t="s">
        <v>389</v>
      </c>
      <c r="I336" s="435" t="s">
        <v>390</v>
      </c>
      <c r="J336" s="435" t="s">
        <v>391</v>
      </c>
      <c r="K336" s="4"/>
      <c r="L336" s="4"/>
      <c r="M336" s="4"/>
      <c r="O336" s="4"/>
      <c r="P336" s="36"/>
      <c r="Q336" s="36"/>
      <c r="R336" s="36"/>
    </row>
    <row r="337" spans="1:94" x14ac:dyDescent="0.25">
      <c r="B337" s="292" t="str">
        <f>'III. Data Inputs-BE'!$B$33</f>
        <v>January</v>
      </c>
      <c r="C337" s="140">
        <f>'III. Data Inputs-BE'!$E$33</f>
        <v>31</v>
      </c>
      <c r="D337" s="452">
        <f>MIN(0.95, MAX(0.104,EXP(15175*(('III. Data Inputs-BE'!$C$33+273)-303.16)/(1.987*('III. Data Inputs-BE'!$C$33+273)*303.16))))</f>
        <v>0.104</v>
      </c>
      <c r="E337" s="300">
        <f t="shared" ref="E337:E348" si="39">$C$334</f>
        <v>0</v>
      </c>
      <c r="F337" s="148">
        <f>(E337*'III. Data Inputs-BE'!I70*'III. Data Inputs-BE'!$I$176*C337*0.8)+G337</f>
        <v>0</v>
      </c>
      <c r="G337" s="449">
        <v>0</v>
      </c>
      <c r="H337" s="148">
        <f>F337*D337</f>
        <v>0</v>
      </c>
      <c r="I337" s="148">
        <f>IF('III. Data Inputs-BE'!D33=0,0,H337*'III. Data Inputs-BE'!$C$113*0.68*0.001)*('III. Data Inputs-BE'!G33/'III. Data Inputs-BE'!E33)</f>
        <v>0</v>
      </c>
      <c r="J337" s="148">
        <f t="shared" ref="J337:J348" si="40">I337*gwp_ch4</f>
        <v>0</v>
      </c>
    </row>
    <row r="338" spans="1:94" x14ac:dyDescent="0.25">
      <c r="B338" s="292" t="str">
        <f>'III. Data Inputs-BE'!$B$34</f>
        <v>February</v>
      </c>
      <c r="C338" s="140">
        <f>'III. Data Inputs-BE'!$E$34</f>
        <v>28</v>
      </c>
      <c r="D338" s="452">
        <f>MIN(0.95, MAX(0.104,EXP(15175*(('III. Data Inputs-BE'!$C$34+273)-303.16)/(1.987*('III. Data Inputs-BE'!$C$34+273)*303.16))))</f>
        <v>0.104</v>
      </c>
      <c r="E338" s="300">
        <f t="shared" si="39"/>
        <v>0</v>
      </c>
      <c r="F338" s="148">
        <f>(E338*'III. Data Inputs-BE'!I71*'III. Data Inputs-BE'!$I$176*C338*0.8)+G338</f>
        <v>0</v>
      </c>
      <c r="G338" s="450">
        <f>IF('III. Data Inputs-BE'!$H$34=TRUE,0,IF('III. Data Inputs-BE'!$C$138="Yes",0,(F337-H337)*(1-INDEX('III. Data Inputs-BE'!$B$141:$D$154, MATCH('V. BE CH4,AS'!B337, 'III. Data Inputs-BE'!$B$141:$B$154,0), MATCH('V. BE CH4,AS'!$C$333,'III. Data Inputs-BE'!$B$141:$D$141,0)))))</f>
        <v>0</v>
      </c>
      <c r="H338" s="148">
        <f t="shared" ref="H338:H348" si="41">F338*D338</f>
        <v>0</v>
      </c>
      <c r="I338" s="148">
        <f>IF('III. Data Inputs-BE'!D34=0,0,H338*'III. Data Inputs-BE'!$C$113*0.68*0.001)*('III. Data Inputs-BE'!G34/'III. Data Inputs-BE'!E34)</f>
        <v>0</v>
      </c>
      <c r="J338" s="148">
        <f t="shared" si="40"/>
        <v>0</v>
      </c>
    </row>
    <row r="339" spans="1:94" x14ac:dyDescent="0.25">
      <c r="B339" s="292" t="str">
        <f>'III. Data Inputs-BE'!$B$35</f>
        <v>March</v>
      </c>
      <c r="C339" s="140">
        <f>'III. Data Inputs-BE'!$E$35</f>
        <v>31</v>
      </c>
      <c r="D339" s="452">
        <f>MIN(0.95, MAX(0.104,EXP(15175*(('III. Data Inputs-BE'!$C$35+273)-303.16)/(1.987*('III. Data Inputs-BE'!$C$35+273)*303.16))))</f>
        <v>0.104</v>
      </c>
      <c r="E339" s="300">
        <f t="shared" si="39"/>
        <v>0</v>
      </c>
      <c r="F339" s="148">
        <f>(E339*'III. Data Inputs-BE'!I72*'III. Data Inputs-BE'!$I$176*C339*0.8)+G339</f>
        <v>0</v>
      </c>
      <c r="G339" s="450">
        <f>IF('III. Data Inputs-BE'!$H$34=TRUE,0,IF('III. Data Inputs-BE'!$C$138="Yes",0,(F338-H338)*(1-INDEX('III. Data Inputs-BE'!$B$141:$D$154, MATCH('V. BE CH4,AS'!B338, 'III. Data Inputs-BE'!$B$141:$B$154,0), MATCH('V. BE CH4,AS'!$C$333,'III. Data Inputs-BE'!$B$141:$D$141,0)))))</f>
        <v>0</v>
      </c>
      <c r="H339" s="148">
        <f t="shared" si="41"/>
        <v>0</v>
      </c>
      <c r="I339" s="148">
        <f>IF('III. Data Inputs-BE'!D35=0,0,H339*'III. Data Inputs-BE'!$C$113*0.68*0.001)*('III. Data Inputs-BE'!G35/'III. Data Inputs-BE'!E35)</f>
        <v>0</v>
      </c>
      <c r="J339" s="148">
        <f t="shared" si="40"/>
        <v>0</v>
      </c>
    </row>
    <row r="340" spans="1:94" x14ac:dyDescent="0.25">
      <c r="B340" s="292" t="str">
        <f>'III. Data Inputs-BE'!$B$36</f>
        <v>April</v>
      </c>
      <c r="C340" s="140">
        <f>'III. Data Inputs-BE'!$E$36</f>
        <v>30</v>
      </c>
      <c r="D340" s="452">
        <f>MIN(0.95, MAX(0.104,EXP(15175*(('III. Data Inputs-BE'!$C$36+273)-303.16)/(1.987*('III. Data Inputs-BE'!$C$36+273)*303.16))))</f>
        <v>0.104</v>
      </c>
      <c r="E340" s="300">
        <f t="shared" si="39"/>
        <v>0</v>
      </c>
      <c r="F340" s="148">
        <f>(E340*'III. Data Inputs-BE'!I73*'III. Data Inputs-BE'!$I$176*C340*0.8)+G340</f>
        <v>0</v>
      </c>
      <c r="G340" s="450">
        <f>IF('III. Data Inputs-BE'!$H$34=TRUE,0,IF('III. Data Inputs-BE'!$C$138="Yes",0,(F339-H339)*(1-INDEX('III. Data Inputs-BE'!$B$141:$D$154, MATCH('V. BE CH4,AS'!B339, 'III. Data Inputs-BE'!$B$141:$B$154,0), MATCH('V. BE CH4,AS'!$C$333,'III. Data Inputs-BE'!$B$141:$D$141,0)))))</f>
        <v>0</v>
      </c>
      <c r="H340" s="148">
        <f t="shared" si="41"/>
        <v>0</v>
      </c>
      <c r="I340" s="148">
        <f>IF('III. Data Inputs-BE'!D36=0,0,H340*'III. Data Inputs-BE'!$C$113*0.68*0.001)*('III. Data Inputs-BE'!G36/'III. Data Inputs-BE'!E36)</f>
        <v>0</v>
      </c>
      <c r="J340" s="148">
        <f t="shared" si="40"/>
        <v>0</v>
      </c>
    </row>
    <row r="341" spans="1:94" x14ac:dyDescent="0.25">
      <c r="B341" s="292" t="str">
        <f>'III. Data Inputs-BE'!$B$37</f>
        <v>May</v>
      </c>
      <c r="C341" s="140">
        <f>'III. Data Inputs-BE'!$E$37</f>
        <v>31</v>
      </c>
      <c r="D341" s="452">
        <f>MIN(0.95, MAX(0.104,EXP(15175*(('III. Data Inputs-BE'!$C$37+273)-303.16)/(1.987*('III. Data Inputs-BE'!$C$37+273)*303.16))))</f>
        <v>0.104</v>
      </c>
      <c r="E341" s="300">
        <f t="shared" si="39"/>
        <v>0</v>
      </c>
      <c r="F341" s="148">
        <f>(E341*'III. Data Inputs-BE'!I74*'III. Data Inputs-BE'!$I$176*C341*0.8)+G341</f>
        <v>0</v>
      </c>
      <c r="G341" s="450">
        <f>IF('III. Data Inputs-BE'!$H$34=TRUE,0,IF('III. Data Inputs-BE'!$C$138="Yes",0,(F340-H340)*(1-INDEX('III. Data Inputs-BE'!$B$141:$D$154, MATCH('V. BE CH4,AS'!B340, 'III. Data Inputs-BE'!$B$141:$B$154,0), MATCH('V. BE CH4,AS'!$C$333,'III. Data Inputs-BE'!$B$141:$D$141,0)))))</f>
        <v>0</v>
      </c>
      <c r="H341" s="148">
        <f t="shared" si="41"/>
        <v>0</v>
      </c>
      <c r="I341" s="148">
        <f>IF('III. Data Inputs-BE'!D37=0,0,H341*'III. Data Inputs-BE'!$C$113*0.68*0.001)*('III. Data Inputs-BE'!G37/'III. Data Inputs-BE'!E37)</f>
        <v>0</v>
      </c>
      <c r="J341" s="148">
        <f t="shared" si="40"/>
        <v>0</v>
      </c>
    </row>
    <row r="342" spans="1:94" x14ac:dyDescent="0.25">
      <c r="B342" s="292" t="str">
        <f>'III. Data Inputs-BE'!$B$38</f>
        <v>June</v>
      </c>
      <c r="C342" s="140">
        <f>'III. Data Inputs-BE'!$E$38</f>
        <v>30</v>
      </c>
      <c r="D342" s="452">
        <f>MIN(0.95, MAX(0.104,EXP(15175*(('III. Data Inputs-BE'!$C$38+273)-303.16)/(1.987*('III. Data Inputs-BE'!$C$38+273)*303.16))))</f>
        <v>0.104</v>
      </c>
      <c r="E342" s="300">
        <f t="shared" si="39"/>
        <v>0</v>
      </c>
      <c r="F342" s="148">
        <f>(E342*'III. Data Inputs-BE'!I75*'III. Data Inputs-BE'!$I$176*C342*0.8)+G342</f>
        <v>0</v>
      </c>
      <c r="G342" s="450">
        <f>IF('III. Data Inputs-BE'!$H$34=TRUE,0,IF('III. Data Inputs-BE'!$C$138="Yes",0,(F341-H341)*(1-INDEX('III. Data Inputs-BE'!$B$141:$D$154, MATCH('V. BE CH4,AS'!B341, 'III. Data Inputs-BE'!$B$141:$B$154,0), MATCH('V. BE CH4,AS'!$C$333,'III. Data Inputs-BE'!$B$141:$D$141,0)))))</f>
        <v>0</v>
      </c>
      <c r="H342" s="148">
        <f t="shared" si="41"/>
        <v>0</v>
      </c>
      <c r="I342" s="148">
        <f>IF('III. Data Inputs-BE'!D38=0,0,H342*'III. Data Inputs-BE'!$C$113*0.68*0.001)*('III. Data Inputs-BE'!G38/'III. Data Inputs-BE'!E38)</f>
        <v>0</v>
      </c>
      <c r="J342" s="148">
        <f t="shared" si="40"/>
        <v>0</v>
      </c>
    </row>
    <row r="343" spans="1:94" x14ac:dyDescent="0.25">
      <c r="B343" s="292" t="str">
        <f>'III. Data Inputs-BE'!$B$39</f>
        <v>July</v>
      </c>
      <c r="C343" s="140">
        <f>'III. Data Inputs-BE'!$E$39</f>
        <v>31</v>
      </c>
      <c r="D343" s="452">
        <f>MIN(0.95, MAX(0.104,EXP(15175*(('III. Data Inputs-BE'!$C$39+273)-303.16)/(1.987*('III. Data Inputs-BE'!$C$39+273)*303.16))))</f>
        <v>0.104</v>
      </c>
      <c r="E343" s="300">
        <f t="shared" si="39"/>
        <v>0</v>
      </c>
      <c r="F343" s="148">
        <f>(E343*'III. Data Inputs-BE'!I76*'III. Data Inputs-BE'!$I$176*C343*0.8)+G343</f>
        <v>0</v>
      </c>
      <c r="G343" s="450">
        <f>IF('III. Data Inputs-BE'!$H$34=TRUE,0,IF('III. Data Inputs-BE'!$C$138="Yes",0,(F342-H342)*(1-INDEX('III. Data Inputs-BE'!$B$141:$D$154, MATCH('V. BE CH4,AS'!B342, 'III. Data Inputs-BE'!$B$141:$B$154,0), MATCH('V. BE CH4,AS'!$C$333,'III. Data Inputs-BE'!$B$141:$D$141,0)))))</f>
        <v>0</v>
      </c>
      <c r="H343" s="148">
        <f t="shared" si="41"/>
        <v>0</v>
      </c>
      <c r="I343" s="148">
        <f>IF('III. Data Inputs-BE'!D39=0,0,H343*'III. Data Inputs-BE'!$C$113*0.68*0.001)*('III. Data Inputs-BE'!G39/'III. Data Inputs-BE'!E39)</f>
        <v>0</v>
      </c>
      <c r="J343" s="148">
        <f t="shared" si="40"/>
        <v>0</v>
      </c>
    </row>
    <row r="344" spans="1:94" x14ac:dyDescent="0.25">
      <c r="B344" s="292" t="str">
        <f>'III. Data Inputs-BE'!$B$40</f>
        <v>August</v>
      </c>
      <c r="C344" s="140">
        <f>'III. Data Inputs-BE'!$E$40</f>
        <v>31</v>
      </c>
      <c r="D344" s="452">
        <f>MIN(0.95, MAX(0.104,EXP(15175*(('III. Data Inputs-BE'!$C$40+273)-303.16)/(1.987*('III. Data Inputs-BE'!$C$40+273)*303.16))))</f>
        <v>0.104</v>
      </c>
      <c r="E344" s="300">
        <f t="shared" si="39"/>
        <v>0</v>
      </c>
      <c r="F344" s="148">
        <f>(E344*'III. Data Inputs-BE'!I77*'III. Data Inputs-BE'!$I$176*C344*0.8)+G344</f>
        <v>0</v>
      </c>
      <c r="G344" s="450">
        <f>IF('III. Data Inputs-BE'!$H$34=TRUE,0,IF('III. Data Inputs-BE'!$C$138="Yes",0,(F343-H343)*(1-INDEX('III. Data Inputs-BE'!$B$141:$D$154, MATCH('V. BE CH4,AS'!B343, 'III. Data Inputs-BE'!$B$141:$B$154,0), MATCH('V. BE CH4,AS'!$C$333,'III. Data Inputs-BE'!$B$141:$D$141,0)))))</f>
        <v>0</v>
      </c>
      <c r="H344" s="148">
        <f t="shared" si="41"/>
        <v>0</v>
      </c>
      <c r="I344" s="148">
        <f>IF('III. Data Inputs-BE'!D40=0,0,H344*'III. Data Inputs-BE'!$C$113*0.68*0.001)*('III. Data Inputs-BE'!G40/'III. Data Inputs-BE'!E40)</f>
        <v>0</v>
      </c>
      <c r="J344" s="148">
        <f t="shared" si="40"/>
        <v>0</v>
      </c>
    </row>
    <row r="345" spans="1:94" x14ac:dyDescent="0.25">
      <c r="B345" s="292" t="str">
        <f>'III. Data Inputs-BE'!$B$41</f>
        <v>September</v>
      </c>
      <c r="C345" s="140">
        <f>'III. Data Inputs-BE'!$E$41</f>
        <v>30</v>
      </c>
      <c r="D345" s="452">
        <f>MIN(0.95, MAX(0.104,EXP(15175*(('III. Data Inputs-BE'!$C$41+273)-303.16)/(1.987*('III. Data Inputs-BE'!$C$41+273)*303.16))))</f>
        <v>0.104</v>
      </c>
      <c r="E345" s="300">
        <f t="shared" si="39"/>
        <v>0</v>
      </c>
      <c r="F345" s="148">
        <f>(E345*'III. Data Inputs-BE'!I78*'III. Data Inputs-BE'!$I$176*C345*0.8)+G345</f>
        <v>0</v>
      </c>
      <c r="G345" s="450">
        <f>IF('III. Data Inputs-BE'!$H$34=TRUE,0,IF('III. Data Inputs-BE'!$C$138="Yes",0,(F344-H344)*(1-INDEX('III. Data Inputs-BE'!$B$141:$D$154, MATCH('V. BE CH4,AS'!B344, 'III. Data Inputs-BE'!$B$141:$B$154,0), MATCH('V. BE CH4,AS'!$C$333,'III. Data Inputs-BE'!$B$141:$D$141,0)))))</f>
        <v>0</v>
      </c>
      <c r="H345" s="148">
        <f t="shared" si="41"/>
        <v>0</v>
      </c>
      <c r="I345" s="148">
        <f>IF('III. Data Inputs-BE'!D41=0,0,H345*'III. Data Inputs-BE'!$C$113*0.68*0.001)*('III. Data Inputs-BE'!G41/'III. Data Inputs-BE'!E41)</f>
        <v>0</v>
      </c>
      <c r="J345" s="148">
        <f t="shared" si="40"/>
        <v>0</v>
      </c>
    </row>
    <row r="346" spans="1:94" s="3" customFormat="1" ht="13" x14ac:dyDescent="0.3">
      <c r="B346" s="292" t="str">
        <f>'III. Data Inputs-BE'!$B$42</f>
        <v>October</v>
      </c>
      <c r="C346" s="140">
        <f>'III. Data Inputs-BE'!$E$42</f>
        <v>31</v>
      </c>
      <c r="D346" s="452">
        <f>MIN(0.95, MAX(0.104,EXP(15175*(('III. Data Inputs-BE'!$C$42+273)-303.16)/(1.987*('III. Data Inputs-BE'!$C$42+273)*303.16))))</f>
        <v>0.104</v>
      </c>
      <c r="E346" s="300">
        <f t="shared" si="39"/>
        <v>0</v>
      </c>
      <c r="F346" s="148">
        <f>(E346*'III. Data Inputs-BE'!I79*'III. Data Inputs-BE'!$I$176*C346*0.8)+G346</f>
        <v>0</v>
      </c>
      <c r="G346" s="450">
        <f>IF('III. Data Inputs-BE'!$H$34=TRUE,0,IF('III. Data Inputs-BE'!$C$138="Yes",0,(F345-H345)*(1-INDEX('III. Data Inputs-BE'!$B$141:$D$154, MATCH('V. BE CH4,AS'!B345, 'III. Data Inputs-BE'!$B$141:$B$154,0), MATCH('V. BE CH4,AS'!$C$333,'III. Data Inputs-BE'!$B$141:$D$141,0)))))</f>
        <v>0</v>
      </c>
      <c r="H346" s="148">
        <f t="shared" si="41"/>
        <v>0</v>
      </c>
      <c r="I346" s="148">
        <f>IF('III. Data Inputs-BE'!D42=0,0,H346*'III. Data Inputs-BE'!$C$113*0.68*0.001)*('III. Data Inputs-BE'!G42/'III. Data Inputs-BE'!E42)</f>
        <v>0</v>
      </c>
      <c r="J346" s="148">
        <f t="shared" si="40"/>
        <v>0</v>
      </c>
      <c r="K346" s="142"/>
      <c r="L346" s="142"/>
      <c r="M346" s="143"/>
      <c r="N346" s="143"/>
      <c r="O346" s="4"/>
      <c r="Q346" s="142"/>
    </row>
    <row r="347" spans="1:94" x14ac:dyDescent="0.25">
      <c r="B347" s="292" t="str">
        <f>'III. Data Inputs-BE'!$B$43</f>
        <v>November</v>
      </c>
      <c r="C347" s="140">
        <f>'III. Data Inputs-BE'!$E$43</f>
        <v>30</v>
      </c>
      <c r="D347" s="452">
        <f>MIN(0.95, MAX(0.104,EXP(15175*(('III. Data Inputs-BE'!$C$43+273)-303.16)/(1.987*('III. Data Inputs-BE'!$C$43+273)*303.16))))</f>
        <v>0.104</v>
      </c>
      <c r="E347" s="300">
        <f t="shared" si="39"/>
        <v>0</v>
      </c>
      <c r="F347" s="148">
        <f>(E347*'III. Data Inputs-BE'!I80*'III. Data Inputs-BE'!$I$176*C347*0.8)+G347</f>
        <v>0</v>
      </c>
      <c r="G347" s="450">
        <f>IF('III. Data Inputs-BE'!$H$34=TRUE,0,IF('III. Data Inputs-BE'!$C$138="Yes",0,(F346-H346)*(1-INDEX('III. Data Inputs-BE'!$B$141:$D$154, MATCH('V. BE CH4,AS'!B346, 'III. Data Inputs-BE'!$B$141:$B$154,0), MATCH('V. BE CH4,AS'!$C$333,'III. Data Inputs-BE'!$B$141:$D$141,0)))))</f>
        <v>0</v>
      </c>
      <c r="H347" s="148">
        <f t="shared" si="41"/>
        <v>0</v>
      </c>
      <c r="I347" s="148">
        <f>IF('III. Data Inputs-BE'!D43=0,0,H347*'III. Data Inputs-BE'!$C$113*0.68*0.001)*('III. Data Inputs-BE'!G43/'III. Data Inputs-BE'!E43)</f>
        <v>0</v>
      </c>
      <c r="J347" s="148">
        <f t="shared" si="40"/>
        <v>0</v>
      </c>
      <c r="K347" s="96"/>
      <c r="L347" s="96"/>
      <c r="M347" s="96"/>
      <c r="N347" s="144"/>
      <c r="O347" s="96"/>
      <c r="P347" s="144"/>
      <c r="Q347" s="144"/>
    </row>
    <row r="348" spans="1:94" ht="13" x14ac:dyDescent="0.3">
      <c r="B348" s="528" t="str">
        <f>'III. Data Inputs-BE'!$B$44</f>
        <v>December</v>
      </c>
      <c r="C348" s="464">
        <f>'III. Data Inputs-BE'!$E$44</f>
        <v>31</v>
      </c>
      <c r="D348" s="452">
        <f>MIN(0.95, MAX(0.104,EXP(15175*(('III. Data Inputs-BE'!$C$44+273)-303.16)/(1.987*('III. Data Inputs-BE'!$C$44+273)*303.16))))</f>
        <v>0.104</v>
      </c>
      <c r="E348" s="466">
        <f t="shared" si="39"/>
        <v>0</v>
      </c>
      <c r="F348" s="465">
        <f>(E348*'III. Data Inputs-BE'!I81*'III. Data Inputs-BE'!$I$176*C348*0.8)+G348</f>
        <v>0</v>
      </c>
      <c r="G348" s="467">
        <f>IF('III. Data Inputs-BE'!$H$34=TRUE,0,IF('III. Data Inputs-BE'!$C$138="Yes",0,(F347-H347)*(1-INDEX('III. Data Inputs-BE'!$B$141:$D$154, MATCH('V. BE CH4,AS'!B347, 'III. Data Inputs-BE'!$B$141:$B$154,0), MATCH('V. BE CH4,AS'!$C$333,'III. Data Inputs-BE'!$B$141:$D$141,0)))))</f>
        <v>0</v>
      </c>
      <c r="H348" s="148">
        <f t="shared" si="41"/>
        <v>0</v>
      </c>
      <c r="I348" s="148">
        <f>IF('III. Data Inputs-BE'!D44=0,0,H348*'III. Data Inputs-BE'!$C$113*0.68*0.001)*('III. Data Inputs-BE'!G44/'III. Data Inputs-BE'!E44)</f>
        <v>0</v>
      </c>
      <c r="J348" s="148">
        <f t="shared" si="40"/>
        <v>0</v>
      </c>
      <c r="K348" s="4"/>
      <c r="L348" s="4"/>
      <c r="M348" s="4"/>
      <c r="O348" s="46"/>
    </row>
    <row r="349" spans="1:94" ht="13" x14ac:dyDescent="0.3">
      <c r="B349" s="525" t="s">
        <v>392</v>
      </c>
      <c r="C349" s="468"/>
      <c r="D349" s="456"/>
      <c r="E349" s="456"/>
      <c r="F349" s="469"/>
      <c r="G349" s="470"/>
      <c r="H349" s="471">
        <f>SUM(H337:H348)</f>
        <v>0</v>
      </c>
      <c r="I349" s="462">
        <f>SUM(I337:I348)</f>
        <v>0</v>
      </c>
      <c r="J349" s="462">
        <f>SUM(J337:J348)</f>
        <v>0</v>
      </c>
      <c r="K349" s="4"/>
      <c r="L349" s="4"/>
      <c r="M349" s="4"/>
      <c r="O349" s="46"/>
    </row>
    <row r="350" spans="1:94" ht="13" x14ac:dyDescent="0.3">
      <c r="B350" s="517"/>
      <c r="C350" s="3"/>
      <c r="D350" s="57"/>
      <c r="E350" s="57"/>
      <c r="F350" s="58"/>
      <c r="G350" s="58"/>
      <c r="H350" s="58"/>
      <c r="I350" s="58"/>
      <c r="J350" s="58"/>
      <c r="K350" s="4"/>
      <c r="L350" s="4"/>
      <c r="M350" s="4"/>
      <c r="O350" s="46"/>
    </row>
    <row r="351" spans="1:94" s="60" customFormat="1" ht="13" x14ac:dyDescent="0.3">
      <c r="A351" s="13"/>
      <c r="B351" s="526" t="s">
        <v>393</v>
      </c>
      <c r="C351" s="428"/>
      <c r="D351" s="460"/>
      <c r="E351" s="460"/>
      <c r="F351" s="461"/>
      <c r="G351" s="472">
        <f>F348-H348</f>
        <v>0</v>
      </c>
      <c r="H351" s="58"/>
      <c r="I351" s="58"/>
      <c r="J351" s="58"/>
      <c r="K351" s="4"/>
      <c r="L351" s="4"/>
      <c r="M351" s="4"/>
      <c r="N351" s="13"/>
      <c r="O351" s="46"/>
      <c r="P351" s="13"/>
      <c r="Q351" s="13"/>
      <c r="R351" s="13"/>
      <c r="S351" s="13"/>
      <c r="T351" s="13"/>
      <c r="U351" s="13"/>
      <c r="V351" s="13"/>
      <c r="W351" s="13"/>
      <c r="X351" s="13"/>
      <c r="Y351" s="13"/>
      <c r="Z351" s="13"/>
      <c r="AA351" s="13"/>
      <c r="AB351" s="13"/>
      <c r="AC351" s="13"/>
      <c r="AD351" s="13"/>
      <c r="AE351" s="13"/>
      <c r="AF351" s="13"/>
      <c r="AG351" s="13"/>
      <c r="AH351" s="13"/>
      <c r="AI351" s="13"/>
      <c r="AJ351" s="13"/>
      <c r="AK351" s="13"/>
      <c r="AL351" s="13"/>
      <c r="AM351" s="13"/>
      <c r="AN351" s="13"/>
      <c r="AO351" s="13"/>
      <c r="AP351" s="13"/>
      <c r="AQ351" s="13"/>
      <c r="AR351" s="13"/>
      <c r="AS351" s="13"/>
      <c r="AT351" s="13"/>
      <c r="AU351" s="13"/>
      <c r="AV351" s="13"/>
      <c r="AW351" s="13"/>
      <c r="AX351" s="13"/>
      <c r="AY351" s="13"/>
      <c r="AZ351" s="13"/>
      <c r="BA351" s="13"/>
      <c r="BB351" s="13"/>
      <c r="BC351" s="13"/>
      <c r="BD351" s="13"/>
      <c r="BE351" s="13"/>
      <c r="BF351" s="13"/>
      <c r="BG351" s="13"/>
      <c r="BH351" s="13"/>
      <c r="BI351" s="13"/>
      <c r="BJ351" s="13"/>
      <c r="BK351" s="13"/>
      <c r="BL351" s="13"/>
      <c r="BM351" s="13"/>
      <c r="BN351" s="13"/>
      <c r="BO351" s="13"/>
      <c r="BP351" s="13"/>
      <c r="BQ351" s="13"/>
      <c r="BR351" s="13"/>
      <c r="BS351" s="13"/>
      <c r="BT351" s="13"/>
      <c r="BU351" s="13"/>
      <c r="BV351" s="13"/>
      <c r="BW351" s="13"/>
      <c r="BX351" s="13"/>
      <c r="BY351" s="13"/>
      <c r="BZ351" s="13"/>
      <c r="CA351" s="13"/>
      <c r="CB351" s="13"/>
      <c r="CC351" s="13"/>
      <c r="CD351" s="13"/>
      <c r="CE351" s="13"/>
      <c r="CF351" s="13"/>
      <c r="CG351" s="13"/>
      <c r="CH351" s="13"/>
      <c r="CI351" s="13"/>
      <c r="CJ351" s="13"/>
      <c r="CK351" s="13"/>
      <c r="CL351" s="13"/>
      <c r="CM351" s="13"/>
      <c r="CN351" s="13"/>
      <c r="CO351" s="13"/>
      <c r="CP351" s="13"/>
    </row>
    <row r="352" spans="1:94" ht="62.5" x14ac:dyDescent="0.3">
      <c r="G352" s="459" t="s">
        <v>394</v>
      </c>
      <c r="H352" s="58"/>
      <c r="I352" s="58"/>
      <c r="J352" s="58"/>
      <c r="K352" s="4"/>
      <c r="L352" s="4"/>
      <c r="M352" s="4"/>
      <c r="O352" s="46"/>
    </row>
    <row r="353" spans="2:18" ht="13" x14ac:dyDescent="0.3">
      <c r="B353" s="517"/>
      <c r="C353" s="46"/>
      <c r="K353" s="4"/>
      <c r="L353" s="4"/>
      <c r="M353" s="4"/>
      <c r="O353" s="46"/>
    </row>
    <row r="354" spans="2:18" ht="13" x14ac:dyDescent="0.3">
      <c r="B354" s="39"/>
      <c r="C354" s="4"/>
      <c r="D354" s="153"/>
      <c r="E354" s="549" t="s">
        <v>229</v>
      </c>
      <c r="F354" s="554"/>
      <c r="G354" s="554"/>
      <c r="H354" s="554"/>
      <c r="I354" s="554"/>
      <c r="J354" s="554"/>
      <c r="K354" s="36"/>
      <c r="L354" s="36"/>
      <c r="M354" s="36"/>
    </row>
    <row r="355" spans="2:18" ht="13" x14ac:dyDescent="0.25">
      <c r="B355" s="517"/>
      <c r="C355" s="46"/>
      <c r="E355" s="554"/>
      <c r="F355" s="554"/>
      <c r="G355" s="554"/>
      <c r="H355" s="554"/>
      <c r="I355" s="554"/>
      <c r="J355" s="554"/>
      <c r="K355" s="96"/>
      <c r="L355" s="96"/>
      <c r="O355" s="46"/>
      <c r="P355" s="27"/>
    </row>
    <row r="356" spans="2:18" ht="39" x14ac:dyDescent="0.3">
      <c r="B356" s="395" t="str">
        <f>'III. Data Inputs-BE'!B58</f>
        <v>Population 8</v>
      </c>
      <c r="C356" s="453" t="str">
        <f>'III. Data Inputs-BE'!B121</f>
        <v>Liquid/Slurry w/natural crust cover</v>
      </c>
      <c r="D356" s="138"/>
      <c r="E356" s="554"/>
      <c r="F356" s="554"/>
      <c r="G356" s="554"/>
      <c r="H356" s="554"/>
      <c r="I356" s="554"/>
      <c r="J356" s="554"/>
      <c r="N356" s="3"/>
      <c r="O356" s="46"/>
    </row>
    <row r="357" spans="2:18" ht="15" x14ac:dyDescent="0.3">
      <c r="B357" s="524" t="s">
        <v>383</v>
      </c>
      <c r="C357" s="454">
        <f>'III. Data Inputs-BE'!D100</f>
        <v>0</v>
      </c>
      <c r="E357" s="58"/>
      <c r="F357" s="57"/>
      <c r="G357" s="57"/>
      <c r="H357" s="57"/>
      <c r="I357" s="57"/>
      <c r="J357" s="57"/>
    </row>
    <row r="358" spans="2:18" ht="13" x14ac:dyDescent="0.3">
      <c r="B358" s="524"/>
      <c r="C358" s="128"/>
      <c r="E358" s="58"/>
      <c r="F358" s="57"/>
      <c r="G358" s="57"/>
      <c r="H358" s="57"/>
      <c r="I358" s="57"/>
      <c r="J358" s="57"/>
    </row>
    <row r="359" spans="2:18" ht="29" x14ac:dyDescent="0.4">
      <c r="B359" s="369" t="s">
        <v>195</v>
      </c>
      <c r="C359" s="128" t="s">
        <v>384</v>
      </c>
      <c r="D359" s="447" t="s">
        <v>385</v>
      </c>
      <c r="E359" s="448" t="s">
        <v>386</v>
      </c>
      <c r="F359" s="435" t="s">
        <v>387</v>
      </c>
      <c r="G359" s="448" t="s">
        <v>388</v>
      </c>
      <c r="H359" s="435" t="s">
        <v>389</v>
      </c>
      <c r="I359" s="435" t="s">
        <v>390</v>
      </c>
      <c r="J359" s="435" t="s">
        <v>391</v>
      </c>
    </row>
    <row r="360" spans="2:18" x14ac:dyDescent="0.25">
      <c r="B360" s="292" t="str">
        <f>'III. Data Inputs-BE'!$B$33</f>
        <v>January</v>
      </c>
      <c r="C360" s="140">
        <f>'III. Data Inputs-BE'!$E$33</f>
        <v>31</v>
      </c>
      <c r="D360" s="452">
        <f>MIN(0.95, MAX(0.104,EXP(15175*(('III. Data Inputs-BE'!$C$33+273)-303.16)/(1.987*('III. Data Inputs-BE'!$C$33+273)*303.16))))</f>
        <v>0.104</v>
      </c>
      <c r="E360" s="300">
        <f t="shared" ref="E360:E371" si="42">$C$357</f>
        <v>0</v>
      </c>
      <c r="F360" s="148">
        <f>(E360*'III. Data Inputs-BE'!J70*'III. Data Inputs-BE'!$J$175*C360*0.8)+G360</f>
        <v>0</v>
      </c>
      <c r="G360" s="449">
        <v>0</v>
      </c>
      <c r="H360" s="148">
        <f>F360*D360</f>
        <v>0</v>
      </c>
      <c r="I360" s="148">
        <f>IF('III. Data Inputs-BE'!D33=0,0,H360*'III. Data Inputs-BE'!$C$114*0.68*0.001)*('III. Data Inputs-BE'!G33/'III. Data Inputs-BE'!E33)</f>
        <v>0</v>
      </c>
      <c r="J360" s="148">
        <f t="shared" ref="J360:J371" si="43">I360*gwp_ch4</f>
        <v>0</v>
      </c>
    </row>
    <row r="361" spans="2:18" x14ac:dyDescent="0.25">
      <c r="B361" s="292" t="str">
        <f>'III. Data Inputs-BE'!$B$34</f>
        <v>February</v>
      </c>
      <c r="C361" s="140">
        <f>'III. Data Inputs-BE'!$E$34</f>
        <v>28</v>
      </c>
      <c r="D361" s="452">
        <f>MIN(0.95, MAX(0.104,EXP(15175*(('III. Data Inputs-BE'!$C$34+273)-303.16)/(1.987*('III. Data Inputs-BE'!$C$34+273)*303.16))))</f>
        <v>0.104</v>
      </c>
      <c r="E361" s="300">
        <f t="shared" si="42"/>
        <v>0</v>
      </c>
      <c r="F361" s="148">
        <f>(E361*'III. Data Inputs-BE'!J71*'III. Data Inputs-BE'!$J$175*C361*0.8)+G361</f>
        <v>0</v>
      </c>
      <c r="G361" s="450">
        <f>IF('III. Data Inputs-BE'!$H$34=TRUE,0,IF('III. Data Inputs-BE'!$C$138="Yes",0,(F360-H360)*(1-INDEX('III. Data Inputs-BE'!$B$141:$D$154, MATCH('V. BE CH4,AS'!B360, 'III. Data Inputs-BE'!$B$141:$B$154,0), MATCH('V. BE CH4,AS'!$C$356,'III. Data Inputs-BE'!$B$141:$D$141,0)))))</f>
        <v>0</v>
      </c>
      <c r="H361" s="148">
        <f t="shared" ref="H361:H371" si="44">F361*D361</f>
        <v>0</v>
      </c>
      <c r="I361" s="148">
        <f>IF('III. Data Inputs-BE'!D34=0,0,H361*'III. Data Inputs-BE'!$C$114*0.68*0.001)*('III. Data Inputs-BE'!G34/'III. Data Inputs-BE'!E34)</f>
        <v>0</v>
      </c>
      <c r="J361" s="148">
        <f t="shared" si="43"/>
        <v>0</v>
      </c>
    </row>
    <row r="362" spans="2:18" x14ac:dyDescent="0.25">
      <c r="B362" s="292" t="str">
        <f>'III. Data Inputs-BE'!$B$35</f>
        <v>March</v>
      </c>
      <c r="C362" s="140">
        <f>'III. Data Inputs-BE'!$E$35</f>
        <v>31</v>
      </c>
      <c r="D362" s="452">
        <f>MIN(0.95, MAX(0.104,EXP(15175*(('III. Data Inputs-BE'!$C$35+273)-303.16)/(1.987*('III. Data Inputs-BE'!$C$35+273)*303.16))))</f>
        <v>0.104</v>
      </c>
      <c r="E362" s="300">
        <f t="shared" si="42"/>
        <v>0</v>
      </c>
      <c r="F362" s="148">
        <f>(E362*'III. Data Inputs-BE'!J72*'III. Data Inputs-BE'!$J$175*C362*0.8)+G362</f>
        <v>0</v>
      </c>
      <c r="G362" s="450">
        <f>IF('III. Data Inputs-BE'!$H$34=TRUE,0,IF('III. Data Inputs-BE'!$C$138="Yes",0,(F361-H361)*(1-INDEX('III. Data Inputs-BE'!$B$141:$D$154, MATCH('V. BE CH4,AS'!B361, 'III. Data Inputs-BE'!$B$141:$B$154,0), MATCH('V. BE CH4,AS'!$C$356,'III. Data Inputs-BE'!$B$141:$D$141,0)))))</f>
        <v>0</v>
      </c>
      <c r="H362" s="148">
        <f t="shared" si="44"/>
        <v>0</v>
      </c>
      <c r="I362" s="148">
        <f>IF('III. Data Inputs-BE'!D35=0,0,H362*'III. Data Inputs-BE'!$C$114*0.68*0.001)*('III. Data Inputs-BE'!G35/'III. Data Inputs-BE'!E35)</f>
        <v>0</v>
      </c>
      <c r="J362" s="148">
        <f t="shared" si="43"/>
        <v>0</v>
      </c>
    </row>
    <row r="363" spans="2:18" s="3" customFormat="1" ht="13" x14ac:dyDescent="0.3">
      <c r="B363" s="292" t="str">
        <f>'III. Data Inputs-BE'!$B$36</f>
        <v>April</v>
      </c>
      <c r="C363" s="140">
        <f>'III. Data Inputs-BE'!$E$36</f>
        <v>30</v>
      </c>
      <c r="D363" s="452">
        <f>MIN(0.95, MAX(0.104,EXP(15175*(('III. Data Inputs-BE'!$C$36+273)-303.16)/(1.987*('III. Data Inputs-BE'!$C$36+273)*303.16))))</f>
        <v>0.104</v>
      </c>
      <c r="E363" s="300">
        <f t="shared" si="42"/>
        <v>0</v>
      </c>
      <c r="F363" s="148">
        <f>(E363*'III. Data Inputs-BE'!J73*'III. Data Inputs-BE'!$J$175*C363*0.8)+G363</f>
        <v>0</v>
      </c>
      <c r="G363" s="450">
        <f>IF('III. Data Inputs-BE'!$H$34=TRUE,0,IF('III. Data Inputs-BE'!$C$138="Yes",0,(F362-H362)*(1-INDEX('III. Data Inputs-BE'!$B$141:$D$154, MATCH('V. BE CH4,AS'!B362, 'III. Data Inputs-BE'!$B$141:$B$154,0), MATCH('V. BE CH4,AS'!$C$356,'III. Data Inputs-BE'!$B$141:$D$141,0)))))</f>
        <v>0</v>
      </c>
      <c r="H363" s="148">
        <f t="shared" si="44"/>
        <v>0</v>
      </c>
      <c r="I363" s="148">
        <f>IF('III. Data Inputs-BE'!D36=0,0,H363*'III. Data Inputs-BE'!$C$114*0.68*0.001)*('III. Data Inputs-BE'!G36/'III. Data Inputs-BE'!E36)</f>
        <v>0</v>
      </c>
      <c r="J363" s="148">
        <f t="shared" si="43"/>
        <v>0</v>
      </c>
      <c r="K363" s="142"/>
      <c r="L363" s="142"/>
      <c r="M363" s="143"/>
    </row>
    <row r="364" spans="2:18" x14ac:dyDescent="0.25">
      <c r="B364" s="292" t="str">
        <f>'III. Data Inputs-BE'!$B$37</f>
        <v>May</v>
      </c>
      <c r="C364" s="140">
        <f>'III. Data Inputs-BE'!$E$37</f>
        <v>31</v>
      </c>
      <c r="D364" s="452">
        <f>MIN(0.95, MAX(0.104,EXP(15175*(('III. Data Inputs-BE'!$C$37+273)-303.16)/(1.987*('III. Data Inputs-BE'!$C$37+273)*303.16))))</f>
        <v>0.104</v>
      </c>
      <c r="E364" s="300">
        <f t="shared" si="42"/>
        <v>0</v>
      </c>
      <c r="F364" s="148">
        <f>(E364*'III. Data Inputs-BE'!J74*'III. Data Inputs-BE'!$J$175*C364*0.8)+G364</f>
        <v>0</v>
      </c>
      <c r="G364" s="450">
        <f>IF('III. Data Inputs-BE'!$H$34=TRUE,0,IF('III. Data Inputs-BE'!$C$138="Yes",0,(F363-H363)*(1-INDEX('III. Data Inputs-BE'!$B$141:$D$154, MATCH('V. BE CH4,AS'!B363, 'III. Data Inputs-BE'!$B$141:$B$154,0), MATCH('V. BE CH4,AS'!$C$356,'III. Data Inputs-BE'!$B$141:$D$141,0)))))</f>
        <v>0</v>
      </c>
      <c r="H364" s="148">
        <f t="shared" si="44"/>
        <v>0</v>
      </c>
      <c r="I364" s="148">
        <f>IF('III. Data Inputs-BE'!D37=0,0,H364*'III. Data Inputs-BE'!$C$114*0.68*0.001)*('III. Data Inputs-BE'!G37/'III. Data Inputs-BE'!E37)</f>
        <v>0</v>
      </c>
      <c r="J364" s="148">
        <f t="shared" si="43"/>
        <v>0</v>
      </c>
    </row>
    <row r="365" spans="2:18" ht="13" x14ac:dyDescent="0.3">
      <c r="B365" s="292" t="str">
        <f>'III. Data Inputs-BE'!$B$38</f>
        <v>June</v>
      </c>
      <c r="C365" s="140">
        <f>'III. Data Inputs-BE'!$E$38</f>
        <v>30</v>
      </c>
      <c r="D365" s="452">
        <f>MIN(0.95, MAX(0.104,EXP(15175*(('III. Data Inputs-BE'!$C$38+273)-303.16)/(1.987*('III. Data Inputs-BE'!$C$38+273)*303.16))))</f>
        <v>0.104</v>
      </c>
      <c r="E365" s="300">
        <f t="shared" si="42"/>
        <v>0</v>
      </c>
      <c r="F365" s="148">
        <f>(E365*'III. Data Inputs-BE'!J75*'III. Data Inputs-BE'!$J$175*C365*0.8)+G365</f>
        <v>0</v>
      </c>
      <c r="G365" s="450">
        <f>IF('III. Data Inputs-BE'!$H$34=TRUE,0,IF('III. Data Inputs-BE'!$C$138="Yes",0,(F364-H364)*(1-INDEX('III. Data Inputs-BE'!$B$141:$D$154, MATCH('V. BE CH4,AS'!B364, 'III. Data Inputs-BE'!$B$141:$B$154,0), MATCH('V. BE CH4,AS'!$C$356,'III. Data Inputs-BE'!$B$141:$D$141,0)))))</f>
        <v>0</v>
      </c>
      <c r="H365" s="148">
        <f t="shared" si="44"/>
        <v>0</v>
      </c>
      <c r="I365" s="148">
        <f>IF('III. Data Inputs-BE'!D38=0,0,H365*'III. Data Inputs-BE'!$C$114*0.68*0.001)*('III. Data Inputs-BE'!G38/'III. Data Inputs-BE'!E38)</f>
        <v>0</v>
      </c>
      <c r="J365" s="148">
        <f t="shared" si="43"/>
        <v>0</v>
      </c>
      <c r="K365" s="4"/>
      <c r="L365" s="4"/>
      <c r="M365" s="4"/>
      <c r="O365" s="4"/>
      <c r="P365" s="36"/>
      <c r="Q365" s="36"/>
      <c r="R365" s="36"/>
    </row>
    <row r="366" spans="2:18" ht="13" x14ac:dyDescent="0.3">
      <c r="B366" s="292" t="str">
        <f>'III. Data Inputs-BE'!$B$39</f>
        <v>July</v>
      </c>
      <c r="C366" s="140">
        <f>'III. Data Inputs-BE'!$E$39</f>
        <v>31</v>
      </c>
      <c r="D366" s="452">
        <f>MIN(0.95, MAX(0.104,EXP(15175*(('III. Data Inputs-BE'!$C$39+273)-303.16)/(1.987*('III. Data Inputs-BE'!$C$39+273)*303.16))))</f>
        <v>0.104</v>
      </c>
      <c r="E366" s="300">
        <f t="shared" si="42"/>
        <v>0</v>
      </c>
      <c r="F366" s="148">
        <f>(E366*'III. Data Inputs-BE'!J76*'III. Data Inputs-BE'!$J$175*C366*0.8)+G366</f>
        <v>0</v>
      </c>
      <c r="G366" s="450">
        <f>IF('III. Data Inputs-BE'!$H$34=TRUE,0,IF('III. Data Inputs-BE'!$C$138="Yes",0,(F365-H365)*(1-INDEX('III. Data Inputs-BE'!$B$141:$D$154, MATCH('V. BE CH4,AS'!B365, 'III. Data Inputs-BE'!$B$141:$B$154,0), MATCH('V. BE CH4,AS'!$C$356,'III. Data Inputs-BE'!$B$141:$D$141,0)))))</f>
        <v>0</v>
      </c>
      <c r="H366" s="148">
        <f t="shared" si="44"/>
        <v>0</v>
      </c>
      <c r="I366" s="148">
        <f>IF('III. Data Inputs-BE'!D39=0,0,H366*'III. Data Inputs-BE'!$C$114*0.68*0.001)*('III. Data Inputs-BE'!G39/'III. Data Inputs-BE'!E39)</f>
        <v>0</v>
      </c>
      <c r="J366" s="148">
        <f t="shared" si="43"/>
        <v>0</v>
      </c>
      <c r="K366" s="4"/>
      <c r="L366" s="4"/>
      <c r="M366" s="4"/>
      <c r="O366" s="4"/>
      <c r="P366" s="36"/>
      <c r="Q366" s="36"/>
      <c r="R366" s="36"/>
    </row>
    <row r="367" spans="2:18" ht="13" x14ac:dyDescent="0.3">
      <c r="B367" s="292" t="str">
        <f>'III. Data Inputs-BE'!$B$40</f>
        <v>August</v>
      </c>
      <c r="C367" s="140">
        <f>'III. Data Inputs-BE'!$E$40</f>
        <v>31</v>
      </c>
      <c r="D367" s="452">
        <f>MIN(0.95, MAX(0.104,EXP(15175*(('III. Data Inputs-BE'!$C$40+273)-303.16)/(1.987*('III. Data Inputs-BE'!$C$40+273)*303.16))))</f>
        <v>0.104</v>
      </c>
      <c r="E367" s="300">
        <f t="shared" si="42"/>
        <v>0</v>
      </c>
      <c r="F367" s="148">
        <f>(E367*'III. Data Inputs-BE'!J77*'III. Data Inputs-BE'!$J$175*C367*0.8)+G367</f>
        <v>0</v>
      </c>
      <c r="G367" s="450">
        <f>IF('III. Data Inputs-BE'!$H$34=TRUE,0,IF('III. Data Inputs-BE'!$C$138="Yes",0,(F366-H366)*(1-INDEX('III. Data Inputs-BE'!$B$141:$D$154, MATCH('V. BE CH4,AS'!B366, 'III. Data Inputs-BE'!$B$141:$B$154,0), MATCH('V. BE CH4,AS'!$C$356,'III. Data Inputs-BE'!$B$141:$D$141,0)))))</f>
        <v>0</v>
      </c>
      <c r="H367" s="148">
        <f t="shared" si="44"/>
        <v>0</v>
      </c>
      <c r="I367" s="148">
        <f>IF('III. Data Inputs-BE'!D40=0,0,H367*'III. Data Inputs-BE'!$C$114*0.68*0.001)*('III. Data Inputs-BE'!G40/'III. Data Inputs-BE'!E40)</f>
        <v>0</v>
      </c>
      <c r="J367" s="148">
        <f t="shared" si="43"/>
        <v>0</v>
      </c>
      <c r="K367" s="4"/>
      <c r="L367" s="4"/>
      <c r="M367" s="4"/>
      <c r="O367" s="4"/>
      <c r="P367" s="36"/>
      <c r="Q367" s="36"/>
      <c r="R367" s="36"/>
    </row>
    <row r="368" spans="2:18" x14ac:dyDescent="0.25">
      <c r="B368" s="292" t="str">
        <f>'III. Data Inputs-BE'!$B$41</f>
        <v>September</v>
      </c>
      <c r="C368" s="140">
        <f>'III. Data Inputs-BE'!$E$41</f>
        <v>30</v>
      </c>
      <c r="D368" s="452">
        <f>MIN(0.95, MAX(0.104,EXP(15175*(('III. Data Inputs-BE'!$C$41+273)-303.16)/(1.987*('III. Data Inputs-BE'!$C$41+273)*303.16))))</f>
        <v>0.104</v>
      </c>
      <c r="E368" s="300">
        <f t="shared" si="42"/>
        <v>0</v>
      </c>
      <c r="F368" s="148">
        <f>(E368*'III. Data Inputs-BE'!J78*'III. Data Inputs-BE'!$J$175*C368*0.8)+G368</f>
        <v>0</v>
      </c>
      <c r="G368" s="450">
        <f>IF('III. Data Inputs-BE'!$H$34=TRUE,0,IF('III. Data Inputs-BE'!$C$138="Yes",0,(F367-H367)*(1-INDEX('III. Data Inputs-BE'!$B$141:$D$154, MATCH('V. BE CH4,AS'!B367, 'III. Data Inputs-BE'!$B$141:$B$154,0), MATCH('V. BE CH4,AS'!$C$356,'III. Data Inputs-BE'!$B$141:$D$141,0)))))</f>
        <v>0</v>
      </c>
      <c r="H368" s="148">
        <f t="shared" si="44"/>
        <v>0</v>
      </c>
      <c r="I368" s="148">
        <f>IF('III. Data Inputs-BE'!D41=0,0,H368*'III. Data Inputs-BE'!$C$114*0.68*0.001)*('III. Data Inputs-BE'!G41/'III. Data Inputs-BE'!E41)</f>
        <v>0</v>
      </c>
      <c r="J368" s="148">
        <f t="shared" si="43"/>
        <v>0</v>
      </c>
      <c r="K368" s="36"/>
      <c r="L368" s="36"/>
      <c r="M368" s="36"/>
    </row>
    <row r="369" spans="2:15" x14ac:dyDescent="0.25">
      <c r="B369" s="292" t="str">
        <f>'III. Data Inputs-BE'!$B$42</f>
        <v>October</v>
      </c>
      <c r="C369" s="140">
        <f>'III. Data Inputs-BE'!$E$42</f>
        <v>31</v>
      </c>
      <c r="D369" s="452">
        <f>MIN(0.95, MAX(0.104,EXP(15175*(('III. Data Inputs-BE'!$C$42+273)-303.16)/(1.987*('III. Data Inputs-BE'!$C$42+273)*303.16))))</f>
        <v>0.104</v>
      </c>
      <c r="E369" s="300">
        <f t="shared" si="42"/>
        <v>0</v>
      </c>
      <c r="F369" s="148">
        <f>(E369*'III. Data Inputs-BE'!J79*'III. Data Inputs-BE'!$J$175*C369*0.8)+G369</f>
        <v>0</v>
      </c>
      <c r="G369" s="450">
        <f>IF('III. Data Inputs-BE'!$H$34=TRUE,0,IF('III. Data Inputs-BE'!$C$138="Yes",0,(F368-H368)*(1-INDEX('III. Data Inputs-BE'!$B$141:$D$154, MATCH('V. BE CH4,AS'!B368, 'III. Data Inputs-BE'!$B$141:$B$154,0), MATCH('V. BE CH4,AS'!$C$356,'III. Data Inputs-BE'!$B$141:$D$141,0)))))</f>
        <v>0</v>
      </c>
      <c r="H369" s="148">
        <f t="shared" si="44"/>
        <v>0</v>
      </c>
      <c r="I369" s="148">
        <f>IF('III. Data Inputs-BE'!D42=0,0,H369*'III. Data Inputs-BE'!$C$114*0.68*0.001)*('III. Data Inputs-BE'!G42/'III. Data Inputs-BE'!E42)</f>
        <v>0</v>
      </c>
      <c r="J369" s="148">
        <f t="shared" si="43"/>
        <v>0</v>
      </c>
      <c r="K369" s="96"/>
      <c r="L369" s="96"/>
    </row>
    <row r="370" spans="2:15" x14ac:dyDescent="0.25">
      <c r="B370" s="292" t="str">
        <f>'III. Data Inputs-BE'!$B$43</f>
        <v>November</v>
      </c>
      <c r="C370" s="140">
        <f>'III. Data Inputs-BE'!$E$43</f>
        <v>30</v>
      </c>
      <c r="D370" s="452">
        <f>MIN(0.95, MAX(0.104,EXP(15175*(('III. Data Inputs-BE'!$C$43+273)-303.16)/(1.987*('III. Data Inputs-BE'!$C$43+273)*303.16))))</f>
        <v>0.104</v>
      </c>
      <c r="E370" s="300">
        <f t="shared" si="42"/>
        <v>0</v>
      </c>
      <c r="F370" s="148">
        <f>(E370*'III. Data Inputs-BE'!J80*'III. Data Inputs-BE'!$J$175*C370*0.8)+G370</f>
        <v>0</v>
      </c>
      <c r="G370" s="450">
        <f>IF('III. Data Inputs-BE'!$H$34=TRUE,0,IF('III. Data Inputs-BE'!$C$138="Yes",0,(F369-H369)*(1-INDEX('III. Data Inputs-BE'!$B$141:$D$154, MATCH('V. BE CH4,AS'!B369, 'III. Data Inputs-BE'!$B$141:$B$154,0), MATCH('V. BE CH4,AS'!$C$356,'III. Data Inputs-BE'!$B$141:$D$141,0)))))</f>
        <v>0</v>
      </c>
      <c r="H370" s="148">
        <f t="shared" si="44"/>
        <v>0</v>
      </c>
      <c r="I370" s="148">
        <f>IF('III. Data Inputs-BE'!D43=0,0,H370*'III. Data Inputs-BE'!$C$114*0.68*0.001)*('III. Data Inputs-BE'!G43/'III. Data Inputs-BE'!E43)</f>
        <v>0</v>
      </c>
      <c r="J370" s="148">
        <f t="shared" si="43"/>
        <v>0</v>
      </c>
    </row>
    <row r="371" spans="2:15" x14ac:dyDescent="0.25">
      <c r="B371" s="528" t="str">
        <f>'III. Data Inputs-BE'!$B$44</f>
        <v>December</v>
      </c>
      <c r="C371" s="464">
        <f>'III. Data Inputs-BE'!$E$44</f>
        <v>31</v>
      </c>
      <c r="D371" s="452">
        <f>MIN(0.95, MAX(0.104,EXP(15175*(('III. Data Inputs-BE'!$C$44+273)-303.16)/(1.987*('III. Data Inputs-BE'!$C$44+273)*303.16))))</f>
        <v>0.104</v>
      </c>
      <c r="E371" s="466">
        <f t="shared" si="42"/>
        <v>0</v>
      </c>
      <c r="F371" s="465">
        <f>(E371*'III. Data Inputs-BE'!J81*'III. Data Inputs-BE'!$J$175*C371*0.8)+G371</f>
        <v>0</v>
      </c>
      <c r="G371" s="467">
        <f>IF('III. Data Inputs-BE'!$H$34=TRUE,0,IF('III. Data Inputs-BE'!$C$138="Yes",0,(F370-H370)*(1-INDEX('III. Data Inputs-BE'!$B$141:$D$154, MATCH('V. BE CH4,AS'!B370, 'III. Data Inputs-BE'!$B$141:$B$154,0), MATCH('V. BE CH4,AS'!$C$356,'III. Data Inputs-BE'!$B$141:$D$141,0)))))</f>
        <v>0</v>
      </c>
      <c r="H371" s="148">
        <f t="shared" si="44"/>
        <v>0</v>
      </c>
      <c r="I371" s="148">
        <f>IF('III. Data Inputs-BE'!D44=0,0,H371*'III. Data Inputs-BE'!$C$114*0.68*0.001)*('III. Data Inputs-BE'!G44/'III. Data Inputs-BE'!E44)</f>
        <v>0</v>
      </c>
      <c r="J371" s="148">
        <f t="shared" si="43"/>
        <v>0</v>
      </c>
    </row>
    <row r="372" spans="2:15" ht="13" x14ac:dyDescent="0.3">
      <c r="B372" s="525" t="s">
        <v>392</v>
      </c>
      <c r="C372" s="468"/>
      <c r="D372" s="456"/>
      <c r="E372" s="456"/>
      <c r="F372" s="469"/>
      <c r="G372" s="470"/>
      <c r="H372" s="471">
        <f>SUM(H360:H371)</f>
        <v>0</v>
      </c>
      <c r="I372" s="462">
        <f>SUM(I360:I371)</f>
        <v>0</v>
      </c>
      <c r="J372" s="462">
        <f>SUM(J360:J371)</f>
        <v>0</v>
      </c>
    </row>
    <row r="373" spans="2:15" ht="13" x14ac:dyDescent="0.3">
      <c r="B373" s="517"/>
      <c r="C373" s="3"/>
      <c r="D373" s="57"/>
      <c r="E373" s="57"/>
      <c r="F373" s="58"/>
      <c r="G373" s="58"/>
      <c r="H373" s="58"/>
      <c r="I373" s="58"/>
      <c r="J373" s="58"/>
    </row>
    <row r="374" spans="2:15" ht="13" x14ac:dyDescent="0.3">
      <c r="B374" s="526" t="s">
        <v>393</v>
      </c>
      <c r="C374" s="428"/>
      <c r="D374" s="460"/>
      <c r="E374" s="460"/>
      <c r="F374" s="461"/>
      <c r="G374" s="472">
        <f>F371-H371</f>
        <v>0</v>
      </c>
      <c r="H374" s="58"/>
      <c r="I374" s="58"/>
      <c r="J374" s="58"/>
    </row>
    <row r="375" spans="2:15" ht="62.5" x14ac:dyDescent="0.3">
      <c r="G375" s="459" t="s">
        <v>394</v>
      </c>
      <c r="H375" s="58"/>
      <c r="I375" s="58"/>
      <c r="J375" s="58"/>
    </row>
    <row r="376" spans="2:15" ht="13" x14ac:dyDescent="0.25">
      <c r="B376" s="517"/>
      <c r="C376" s="46"/>
    </row>
    <row r="377" spans="2:15" ht="13" x14ac:dyDescent="0.25">
      <c r="B377" s="517"/>
      <c r="C377" s="46"/>
      <c r="E377" s="549" t="s">
        <v>229</v>
      </c>
      <c r="F377" s="554"/>
      <c r="G377" s="554"/>
      <c r="H377" s="554"/>
      <c r="I377" s="554"/>
      <c r="J377" s="554"/>
    </row>
    <row r="378" spans="2:15" ht="13" x14ac:dyDescent="0.25">
      <c r="B378" s="517"/>
      <c r="C378" s="46"/>
      <c r="E378" s="554"/>
      <c r="F378" s="554"/>
      <c r="G378" s="554"/>
      <c r="H378" s="554"/>
      <c r="I378" s="554"/>
      <c r="J378" s="554"/>
    </row>
    <row r="379" spans="2:15" ht="13" x14ac:dyDescent="0.25">
      <c r="B379" s="517"/>
      <c r="C379" s="46"/>
      <c r="E379" s="554"/>
      <c r="F379" s="554"/>
      <c r="G379" s="554"/>
      <c r="H379" s="554"/>
      <c r="I379" s="554"/>
      <c r="J379" s="554"/>
    </row>
    <row r="380" spans="2:15" ht="13" x14ac:dyDescent="0.3">
      <c r="B380" s="395" t="str">
        <f>B356</f>
        <v>Population 8</v>
      </c>
      <c r="C380" s="453">
        <f>'III. Data Inputs-BE'!B122</f>
        <v>0</v>
      </c>
      <c r="D380" s="138"/>
      <c r="E380" s="57"/>
      <c r="F380" s="57"/>
      <c r="G380" s="57"/>
      <c r="H380" s="57"/>
      <c r="I380" s="57"/>
      <c r="J380" s="57"/>
    </row>
    <row r="381" spans="2:15" ht="15" x14ac:dyDescent="0.3">
      <c r="B381" s="524" t="s">
        <v>383</v>
      </c>
      <c r="C381" s="454">
        <f>C357</f>
        <v>0</v>
      </c>
      <c r="E381" s="58"/>
      <c r="F381" s="57"/>
      <c r="G381" s="57"/>
      <c r="H381" s="57"/>
      <c r="I381" s="57"/>
      <c r="J381" s="57"/>
    </row>
    <row r="382" spans="2:15" ht="13" x14ac:dyDescent="0.3">
      <c r="B382" s="524"/>
      <c r="C382" s="128"/>
      <c r="E382" s="58"/>
      <c r="F382" s="57"/>
      <c r="G382" s="57"/>
      <c r="H382" s="57"/>
      <c r="I382" s="57"/>
      <c r="J382" s="57"/>
    </row>
    <row r="383" spans="2:15" ht="29" x14ac:dyDescent="0.4">
      <c r="B383" s="369" t="s">
        <v>195</v>
      </c>
      <c r="C383" s="128" t="s">
        <v>384</v>
      </c>
      <c r="D383" s="447" t="s">
        <v>385</v>
      </c>
      <c r="E383" s="448" t="s">
        <v>386</v>
      </c>
      <c r="F383" s="435" t="s">
        <v>387</v>
      </c>
      <c r="G383" s="448" t="s">
        <v>388</v>
      </c>
      <c r="H383" s="435" t="s">
        <v>389</v>
      </c>
      <c r="I383" s="435" t="s">
        <v>390</v>
      </c>
      <c r="J383" s="435" t="s">
        <v>391</v>
      </c>
    </row>
    <row r="384" spans="2:15" ht="13" x14ac:dyDescent="0.3">
      <c r="B384" s="292" t="str">
        <f>'III. Data Inputs-BE'!$B$33</f>
        <v>January</v>
      </c>
      <c r="C384" s="140">
        <f>'III. Data Inputs-BE'!$E$33</f>
        <v>31</v>
      </c>
      <c r="D384" s="452">
        <f>MIN(0.95, MAX(0.104,EXP(15175*(('III. Data Inputs-BE'!$C$33+273)-303.16)/(1.987*('III. Data Inputs-BE'!$C$33+273)*303.16))))</f>
        <v>0.104</v>
      </c>
      <c r="E384" s="300">
        <f t="shared" ref="E384:E395" si="45">$C$381</f>
        <v>0</v>
      </c>
      <c r="F384" s="148">
        <f>(E384*'III. Data Inputs-BE'!J70*'III. Data Inputs-BE'!$J$176*C384*0.8)+G384</f>
        <v>0</v>
      </c>
      <c r="G384" s="449">
        <v>0</v>
      </c>
      <c r="H384" s="148">
        <f>F384*D384</f>
        <v>0</v>
      </c>
      <c r="I384" s="148">
        <f>IF('III. Data Inputs-BE'!D33=0,0,H384*'III. Data Inputs-BE'!$C$114*0.68*0.001)*('III. Data Inputs-BE'!G33/'III. Data Inputs-BE'!E33)</f>
        <v>0</v>
      </c>
      <c r="J384" s="148">
        <f t="shared" ref="J384:J395" si="46">I384*gwp_ch4</f>
        <v>0</v>
      </c>
      <c r="K384" s="4"/>
      <c r="L384" s="4"/>
      <c r="M384" s="4"/>
      <c r="O384" s="46"/>
    </row>
    <row r="385" spans="2:16" x14ac:dyDescent="0.25">
      <c r="B385" s="292" t="str">
        <f>'III. Data Inputs-BE'!$B$34</f>
        <v>February</v>
      </c>
      <c r="C385" s="140">
        <f>'III. Data Inputs-BE'!$E$34</f>
        <v>28</v>
      </c>
      <c r="D385" s="452">
        <f>MIN(0.95, MAX(0.104,EXP(15175*(('III. Data Inputs-BE'!$C$34+273)-303.16)/(1.987*('III. Data Inputs-BE'!$C$34+273)*303.16))))</f>
        <v>0.104</v>
      </c>
      <c r="E385" s="300">
        <f t="shared" si="45"/>
        <v>0</v>
      </c>
      <c r="F385" s="148">
        <f>(E385*'III. Data Inputs-BE'!J71*'III. Data Inputs-BE'!$J$176*C385*0.8)+G385</f>
        <v>0</v>
      </c>
      <c r="G385" s="450">
        <f>IF('III. Data Inputs-BE'!$H$34=TRUE,0,IF('III. Data Inputs-BE'!$C$138="Yes",0,(F384-H384)*(1-INDEX('III. Data Inputs-BE'!$B$141:$D$154, MATCH('V. BE CH4,AS'!B384, 'III. Data Inputs-BE'!$B$141:$B$154,0), MATCH('V. BE CH4,AS'!$C$380,'III. Data Inputs-BE'!$B$141:$D$141,0)))))</f>
        <v>0</v>
      </c>
      <c r="H385" s="148">
        <f t="shared" ref="H385:H395" si="47">F385*D385</f>
        <v>0</v>
      </c>
      <c r="I385" s="148">
        <f>IF('III. Data Inputs-BE'!D34=0,0,H385*'III. Data Inputs-BE'!$C$114*0.68*0.001)*('III. Data Inputs-BE'!G34/'III. Data Inputs-BE'!E34)</f>
        <v>0</v>
      </c>
      <c r="J385" s="148">
        <f t="shared" si="46"/>
        <v>0</v>
      </c>
      <c r="K385" s="36"/>
      <c r="L385" s="36"/>
      <c r="M385" s="36"/>
    </row>
    <row r="386" spans="2:16" x14ac:dyDescent="0.25">
      <c r="B386" s="292" t="str">
        <f>'III. Data Inputs-BE'!$B$35</f>
        <v>March</v>
      </c>
      <c r="C386" s="140">
        <f>'III. Data Inputs-BE'!$E$35</f>
        <v>31</v>
      </c>
      <c r="D386" s="452">
        <f>MIN(0.95, MAX(0.104,EXP(15175*(('III. Data Inputs-BE'!$C$35+273)-303.16)/(1.987*('III. Data Inputs-BE'!$C$35+273)*303.16))))</f>
        <v>0.104</v>
      </c>
      <c r="E386" s="300">
        <f t="shared" si="45"/>
        <v>0</v>
      </c>
      <c r="F386" s="148">
        <f>(E386*'III. Data Inputs-BE'!J72*'III. Data Inputs-BE'!$J$176*C386*0.8)+G386</f>
        <v>0</v>
      </c>
      <c r="G386" s="450">
        <f>IF('III. Data Inputs-BE'!$H$34=TRUE,0,IF('III. Data Inputs-BE'!$C$138="Yes",0,(F385-H385)*(1-INDEX('III. Data Inputs-BE'!$B$141:$D$154, MATCH('V. BE CH4,AS'!B385, 'III. Data Inputs-BE'!$B$141:$B$154,0), MATCH('V. BE CH4,AS'!$C$380,'III. Data Inputs-BE'!$B$141:$D$141,0)))))</f>
        <v>0</v>
      </c>
      <c r="H386" s="148">
        <f t="shared" si="47"/>
        <v>0</v>
      </c>
      <c r="I386" s="148">
        <f>IF('III. Data Inputs-BE'!D35=0,0,H386*'III. Data Inputs-BE'!$C$114*0.68*0.001)*('III. Data Inputs-BE'!G35/'III. Data Inputs-BE'!E35)</f>
        <v>0</v>
      </c>
      <c r="J386" s="148">
        <f t="shared" si="46"/>
        <v>0</v>
      </c>
      <c r="K386" s="96"/>
      <c r="L386" s="96"/>
      <c r="O386" s="46"/>
      <c r="P386" s="27"/>
    </row>
    <row r="387" spans="2:16" ht="13" x14ac:dyDescent="0.3">
      <c r="B387" s="292" t="str">
        <f>'III. Data Inputs-BE'!$B$36</f>
        <v>April</v>
      </c>
      <c r="C387" s="140">
        <f>'III. Data Inputs-BE'!$E$36</f>
        <v>30</v>
      </c>
      <c r="D387" s="452">
        <f>MIN(0.95, MAX(0.104,EXP(15175*(('III. Data Inputs-BE'!$C$36+273)-303.16)/(1.987*('III. Data Inputs-BE'!$C$36+273)*303.16))))</f>
        <v>0.104</v>
      </c>
      <c r="E387" s="300">
        <f t="shared" si="45"/>
        <v>0</v>
      </c>
      <c r="F387" s="148">
        <f>(E387*'III. Data Inputs-BE'!J73*'III. Data Inputs-BE'!$J$176*C387*0.8)+G387</f>
        <v>0</v>
      </c>
      <c r="G387" s="450">
        <f>IF('III. Data Inputs-BE'!$H$34=TRUE,0,IF('III. Data Inputs-BE'!$C$138="Yes",0,(F386-H386)*(1-INDEX('III. Data Inputs-BE'!$B$141:$D$154, MATCH('V. BE CH4,AS'!B386, 'III. Data Inputs-BE'!$B$141:$B$154,0), MATCH('V. BE CH4,AS'!$C$380,'III. Data Inputs-BE'!$B$141:$D$141,0)))))</f>
        <v>0</v>
      </c>
      <c r="H387" s="148">
        <f t="shared" si="47"/>
        <v>0</v>
      </c>
      <c r="I387" s="148">
        <f>IF('III. Data Inputs-BE'!D36=0,0,H387*'III. Data Inputs-BE'!$C$114*0.68*0.001)*('III. Data Inputs-BE'!G36/'III. Data Inputs-BE'!E36)</f>
        <v>0</v>
      </c>
      <c r="J387" s="148">
        <f t="shared" si="46"/>
        <v>0</v>
      </c>
      <c r="N387" s="3"/>
      <c r="O387" s="46"/>
    </row>
    <row r="388" spans="2:16" x14ac:dyDescent="0.25">
      <c r="B388" s="292" t="str">
        <f>'III. Data Inputs-BE'!$B$37</f>
        <v>May</v>
      </c>
      <c r="C388" s="140">
        <f>'III. Data Inputs-BE'!$E$37</f>
        <v>31</v>
      </c>
      <c r="D388" s="452">
        <f>MIN(0.95, MAX(0.104,EXP(15175*(('III. Data Inputs-BE'!$C$37+273)-303.16)/(1.987*('III. Data Inputs-BE'!$C$37+273)*303.16))))</f>
        <v>0.104</v>
      </c>
      <c r="E388" s="300">
        <f t="shared" si="45"/>
        <v>0</v>
      </c>
      <c r="F388" s="148">
        <f>(E388*'III. Data Inputs-BE'!J74*'III. Data Inputs-BE'!$J$176*C388*0.8)+G388</f>
        <v>0</v>
      </c>
      <c r="G388" s="450">
        <f>IF('III. Data Inputs-BE'!$H$34=TRUE,0,IF('III. Data Inputs-BE'!$C$138="Yes",0,(F387-H387)*(1-INDEX('III. Data Inputs-BE'!$B$141:$D$154, MATCH('V. BE CH4,AS'!B387, 'III. Data Inputs-BE'!$B$141:$B$154,0), MATCH('V. BE CH4,AS'!$C$380,'III. Data Inputs-BE'!$B$141:$D$141,0)))))</f>
        <v>0</v>
      </c>
      <c r="H388" s="148">
        <f t="shared" si="47"/>
        <v>0</v>
      </c>
      <c r="I388" s="148">
        <f>IF('III. Data Inputs-BE'!D37=0,0,H388*'III. Data Inputs-BE'!$C$114*0.68*0.001)*('III. Data Inputs-BE'!G37/'III. Data Inputs-BE'!E37)</f>
        <v>0</v>
      </c>
      <c r="J388" s="148">
        <f t="shared" si="46"/>
        <v>0</v>
      </c>
    </row>
    <row r="389" spans="2:16" x14ac:dyDescent="0.25">
      <c r="B389" s="292" t="str">
        <f>'III. Data Inputs-BE'!$B$38</f>
        <v>June</v>
      </c>
      <c r="C389" s="140">
        <f>'III. Data Inputs-BE'!$E$38</f>
        <v>30</v>
      </c>
      <c r="D389" s="452">
        <f>MIN(0.95, MAX(0.104,EXP(15175*(('III. Data Inputs-BE'!$C$38+273)-303.16)/(1.987*('III. Data Inputs-BE'!$C$38+273)*303.16))))</f>
        <v>0.104</v>
      </c>
      <c r="E389" s="300">
        <f t="shared" si="45"/>
        <v>0</v>
      </c>
      <c r="F389" s="148">
        <f>(E389*'III. Data Inputs-BE'!J75*'III. Data Inputs-BE'!$J$176*C389*0.8)+G389</f>
        <v>0</v>
      </c>
      <c r="G389" s="450">
        <f>IF('III. Data Inputs-BE'!$H$34=TRUE,0,IF('III. Data Inputs-BE'!$C$138="Yes",0,(F388-H388)*(1-INDEX('III. Data Inputs-BE'!$B$141:$D$154, MATCH('V. BE CH4,AS'!B388, 'III. Data Inputs-BE'!$B$141:$B$154,0), MATCH('V. BE CH4,AS'!$C$380,'III. Data Inputs-BE'!$B$141:$D$141,0)))))</f>
        <v>0</v>
      </c>
      <c r="H389" s="148">
        <f t="shared" si="47"/>
        <v>0</v>
      </c>
      <c r="I389" s="148">
        <f>IF('III. Data Inputs-BE'!D38=0,0,H389*'III. Data Inputs-BE'!$C$114*0.68*0.001)*('III. Data Inputs-BE'!G38/'III. Data Inputs-BE'!E38)</f>
        <v>0</v>
      </c>
      <c r="J389" s="148">
        <f t="shared" si="46"/>
        <v>0</v>
      </c>
    </row>
    <row r="390" spans="2:16" x14ac:dyDescent="0.25">
      <c r="B390" s="292" t="str">
        <f>'III. Data Inputs-BE'!$B$39</f>
        <v>July</v>
      </c>
      <c r="C390" s="140">
        <f>'III. Data Inputs-BE'!$E$39</f>
        <v>31</v>
      </c>
      <c r="D390" s="452">
        <f>MIN(0.95, MAX(0.104,EXP(15175*(('III. Data Inputs-BE'!$C$39+273)-303.16)/(1.987*('III. Data Inputs-BE'!$C$39+273)*303.16))))</f>
        <v>0.104</v>
      </c>
      <c r="E390" s="300">
        <f t="shared" si="45"/>
        <v>0</v>
      </c>
      <c r="F390" s="148">
        <f>(E390*'III. Data Inputs-BE'!J76*'III. Data Inputs-BE'!$J$176*C390*0.8)+G390</f>
        <v>0</v>
      </c>
      <c r="G390" s="450">
        <f>IF('III. Data Inputs-BE'!$H$34=TRUE,0,IF('III. Data Inputs-BE'!$C$138="Yes",0,(F389-H389)*(1-INDEX('III. Data Inputs-BE'!$B$141:$D$154, MATCH('V. BE CH4,AS'!B389, 'III. Data Inputs-BE'!$B$141:$B$154,0), MATCH('V. BE CH4,AS'!$C$380,'III. Data Inputs-BE'!$B$141:$D$141,0)))))</f>
        <v>0</v>
      </c>
      <c r="H390" s="148">
        <f t="shared" si="47"/>
        <v>0</v>
      </c>
      <c r="I390" s="148">
        <f>IF('III. Data Inputs-BE'!D39=0,0,H390*'III. Data Inputs-BE'!$C$114*0.68*0.001)*('III. Data Inputs-BE'!G39/'III. Data Inputs-BE'!E39)</f>
        <v>0</v>
      </c>
      <c r="J390" s="148">
        <f t="shared" si="46"/>
        <v>0</v>
      </c>
    </row>
    <row r="391" spans="2:16" x14ac:dyDescent="0.25">
      <c r="B391" s="292" t="str">
        <f>'III. Data Inputs-BE'!$B$40</f>
        <v>August</v>
      </c>
      <c r="C391" s="140">
        <f>'III. Data Inputs-BE'!$E$40</f>
        <v>31</v>
      </c>
      <c r="D391" s="452">
        <f>MIN(0.95, MAX(0.104,EXP(15175*(('III. Data Inputs-BE'!$C$40+273)-303.16)/(1.987*('III. Data Inputs-BE'!$C$40+273)*303.16))))</f>
        <v>0.104</v>
      </c>
      <c r="E391" s="300">
        <f t="shared" si="45"/>
        <v>0</v>
      </c>
      <c r="F391" s="148">
        <f>(E391*'III. Data Inputs-BE'!J77*'III. Data Inputs-BE'!$J$176*C391*0.8)+G391</f>
        <v>0</v>
      </c>
      <c r="G391" s="450">
        <f>IF('III. Data Inputs-BE'!$H$34=TRUE,0,IF('III. Data Inputs-BE'!$C$138="Yes",0,(F390-H390)*(1-INDEX('III. Data Inputs-BE'!$B$141:$D$154, MATCH('V. BE CH4,AS'!B390, 'III. Data Inputs-BE'!$B$141:$B$154,0), MATCH('V. BE CH4,AS'!$C$380,'III. Data Inputs-BE'!$B$141:$D$141,0)))))</f>
        <v>0</v>
      </c>
      <c r="H391" s="148">
        <f t="shared" si="47"/>
        <v>0</v>
      </c>
      <c r="I391" s="148">
        <f>IF('III. Data Inputs-BE'!D40=0,0,H391*'III. Data Inputs-BE'!$C$114*0.68*0.001)*('III. Data Inputs-BE'!G40/'III. Data Inputs-BE'!E40)</f>
        <v>0</v>
      </c>
      <c r="J391" s="148">
        <f t="shared" si="46"/>
        <v>0</v>
      </c>
    </row>
    <row r="392" spans="2:16" x14ac:dyDescent="0.25">
      <c r="B392" s="292" t="str">
        <f>'III. Data Inputs-BE'!$B$41</f>
        <v>September</v>
      </c>
      <c r="C392" s="140">
        <f>'III. Data Inputs-BE'!$E$41</f>
        <v>30</v>
      </c>
      <c r="D392" s="452">
        <f>MIN(0.95, MAX(0.104,EXP(15175*(('III. Data Inputs-BE'!$C$41+273)-303.16)/(1.987*('III. Data Inputs-BE'!$C$41+273)*303.16))))</f>
        <v>0.104</v>
      </c>
      <c r="E392" s="300">
        <f t="shared" si="45"/>
        <v>0</v>
      </c>
      <c r="F392" s="148">
        <f>(E392*'III. Data Inputs-BE'!J78*'III. Data Inputs-BE'!$J$176*C392*0.8)+G392</f>
        <v>0</v>
      </c>
      <c r="G392" s="450">
        <f>IF('III. Data Inputs-BE'!$H$34=TRUE,0,IF('III. Data Inputs-BE'!$C$138="Yes",0,(F391-H391)*(1-INDEX('III. Data Inputs-BE'!$B$141:$D$154, MATCH('V. BE CH4,AS'!B391, 'III. Data Inputs-BE'!$B$141:$B$154,0), MATCH('V. BE CH4,AS'!$C$380,'III. Data Inputs-BE'!$B$141:$D$141,0)))))</f>
        <v>0</v>
      </c>
      <c r="H392" s="148">
        <f t="shared" si="47"/>
        <v>0</v>
      </c>
      <c r="I392" s="148">
        <f>IF('III. Data Inputs-BE'!D41=0,0,H392*'III. Data Inputs-BE'!$C$114*0.68*0.001)*('III. Data Inputs-BE'!G41/'III. Data Inputs-BE'!E41)</f>
        <v>0</v>
      </c>
      <c r="J392" s="148">
        <f t="shared" si="46"/>
        <v>0</v>
      </c>
    </row>
    <row r="393" spans="2:16" x14ac:dyDescent="0.25">
      <c r="B393" s="292" t="str">
        <f>'III. Data Inputs-BE'!$B$42</f>
        <v>October</v>
      </c>
      <c r="C393" s="140">
        <f>'III. Data Inputs-BE'!$E$42</f>
        <v>31</v>
      </c>
      <c r="D393" s="452">
        <f>MIN(0.95, MAX(0.104,EXP(15175*(('III. Data Inputs-BE'!$C$42+273)-303.16)/(1.987*('III. Data Inputs-BE'!$C$42+273)*303.16))))</f>
        <v>0.104</v>
      </c>
      <c r="E393" s="300">
        <f t="shared" si="45"/>
        <v>0</v>
      </c>
      <c r="F393" s="148">
        <f>(E393*'III. Data Inputs-BE'!J79*'III. Data Inputs-BE'!$J$176*C393*0.8)+G393</f>
        <v>0</v>
      </c>
      <c r="G393" s="450">
        <f>IF('III. Data Inputs-BE'!$H$34=TRUE,0,IF('III. Data Inputs-BE'!$C$138="Yes",0,(F392-H392)*(1-INDEX('III. Data Inputs-BE'!$B$141:$D$154, MATCH('V. BE CH4,AS'!B392, 'III. Data Inputs-BE'!$B$141:$B$154,0), MATCH('V. BE CH4,AS'!$C$380,'III. Data Inputs-BE'!$B$141:$D$141,0)))))</f>
        <v>0</v>
      </c>
      <c r="H393" s="148">
        <f t="shared" si="47"/>
        <v>0</v>
      </c>
      <c r="I393" s="148">
        <f>IF('III. Data Inputs-BE'!D42=0,0,H393*'III. Data Inputs-BE'!$C$114*0.68*0.001)*('III. Data Inputs-BE'!G42/'III. Data Inputs-BE'!E42)</f>
        <v>0</v>
      </c>
      <c r="J393" s="148">
        <f t="shared" si="46"/>
        <v>0</v>
      </c>
    </row>
    <row r="394" spans="2:16" x14ac:dyDescent="0.25">
      <c r="B394" s="292" t="str">
        <f>'III. Data Inputs-BE'!$B$43</f>
        <v>November</v>
      </c>
      <c r="C394" s="140">
        <f>'III. Data Inputs-BE'!$E$43</f>
        <v>30</v>
      </c>
      <c r="D394" s="452">
        <f>MIN(0.95, MAX(0.104,EXP(15175*(('III. Data Inputs-BE'!$C$43+273)-303.16)/(1.987*('III. Data Inputs-BE'!$C$43+273)*303.16))))</f>
        <v>0.104</v>
      </c>
      <c r="E394" s="300">
        <f t="shared" si="45"/>
        <v>0</v>
      </c>
      <c r="F394" s="148">
        <f>(E394*'III. Data Inputs-BE'!J80*'III. Data Inputs-BE'!$J$176*C394*0.8)+G394</f>
        <v>0</v>
      </c>
      <c r="G394" s="450">
        <f>IF('III. Data Inputs-BE'!$H$34=TRUE,0,IF('III. Data Inputs-BE'!$C$138="Yes",0,(F393-H393)*(1-INDEX('III. Data Inputs-BE'!$B$141:$D$154, MATCH('V. BE CH4,AS'!B393, 'III. Data Inputs-BE'!$B$141:$B$154,0), MATCH('V. BE CH4,AS'!$C$380,'III. Data Inputs-BE'!$B$141:$D$141,0)))))</f>
        <v>0</v>
      </c>
      <c r="H394" s="148">
        <f t="shared" si="47"/>
        <v>0</v>
      </c>
      <c r="I394" s="148">
        <f>IF('III. Data Inputs-BE'!D43=0,0,H394*'III. Data Inputs-BE'!$C$114*0.68*0.001)*('III. Data Inputs-BE'!G43/'III. Data Inputs-BE'!E43)</f>
        <v>0</v>
      </c>
      <c r="J394" s="148">
        <f t="shared" si="46"/>
        <v>0</v>
      </c>
    </row>
    <row r="395" spans="2:16" x14ac:dyDescent="0.25">
      <c r="B395" s="528" t="str">
        <f>'III. Data Inputs-BE'!$B$44</f>
        <v>December</v>
      </c>
      <c r="C395" s="464">
        <f>'III. Data Inputs-BE'!$E$44</f>
        <v>31</v>
      </c>
      <c r="D395" s="452">
        <f>MIN(0.95, MAX(0.104,EXP(15175*(('III. Data Inputs-BE'!$C$44+273)-303.16)/(1.987*('III. Data Inputs-BE'!$C$44+273)*303.16))))</f>
        <v>0.104</v>
      </c>
      <c r="E395" s="466">
        <f t="shared" si="45"/>
        <v>0</v>
      </c>
      <c r="F395" s="465">
        <f>(E395*'III. Data Inputs-BE'!J81*'III. Data Inputs-BE'!$J$176*C395*0.8)+G395</f>
        <v>0</v>
      </c>
      <c r="G395" s="467">
        <f>IF('III. Data Inputs-BE'!$H$34=TRUE,0,IF('III. Data Inputs-BE'!$C$138="Yes",0,(F394-H394)*(1-INDEX('III. Data Inputs-BE'!$B$141:$D$154, MATCH('V. BE CH4,AS'!B394, 'III. Data Inputs-BE'!$B$141:$B$154,0), MATCH('V. BE CH4,AS'!$C$380,'III. Data Inputs-BE'!$B$141:$D$141,0)))))</f>
        <v>0</v>
      </c>
      <c r="H395" s="148">
        <f t="shared" si="47"/>
        <v>0</v>
      </c>
      <c r="I395" s="148">
        <f>IF('III. Data Inputs-BE'!D44=0,0,H395*'III. Data Inputs-BE'!$C$114*0.68*0.001)*('III. Data Inputs-BE'!G44/'III. Data Inputs-BE'!E44)</f>
        <v>0</v>
      </c>
      <c r="J395" s="148">
        <f t="shared" si="46"/>
        <v>0</v>
      </c>
    </row>
    <row r="396" spans="2:16" ht="13" x14ac:dyDescent="0.3">
      <c r="B396" s="525" t="s">
        <v>392</v>
      </c>
      <c r="C396" s="468"/>
      <c r="D396" s="456"/>
      <c r="E396" s="456"/>
      <c r="F396" s="469"/>
      <c r="G396" s="470"/>
      <c r="H396" s="471">
        <f>SUM(H384:H395)</f>
        <v>0</v>
      </c>
      <c r="I396" s="462">
        <f>SUM(I384:I395)</f>
        <v>0</v>
      </c>
      <c r="J396" s="462">
        <f>SUM(J384:J395)</f>
        <v>0</v>
      </c>
    </row>
    <row r="397" spans="2:16" ht="13" x14ac:dyDescent="0.3">
      <c r="B397" s="517"/>
      <c r="C397" s="3"/>
      <c r="D397" s="57"/>
      <c r="E397" s="57"/>
      <c r="F397" s="58"/>
      <c r="G397" s="58"/>
      <c r="H397" s="58"/>
      <c r="I397" s="58"/>
      <c r="J397" s="58"/>
    </row>
    <row r="398" spans="2:16" ht="13" x14ac:dyDescent="0.3">
      <c r="B398" s="526" t="s">
        <v>393</v>
      </c>
      <c r="C398" s="428"/>
      <c r="D398" s="460"/>
      <c r="E398" s="460"/>
      <c r="F398" s="461"/>
      <c r="G398" s="472">
        <f>F395-H395</f>
        <v>0</v>
      </c>
      <c r="H398" s="58"/>
      <c r="I398" s="58"/>
      <c r="J398" s="58"/>
    </row>
    <row r="399" spans="2:16" ht="62.5" x14ac:dyDescent="0.3">
      <c r="G399" s="459" t="s">
        <v>394</v>
      </c>
      <c r="H399" s="58"/>
      <c r="I399" s="58"/>
      <c r="J399" s="58"/>
    </row>
    <row r="400" spans="2:16" ht="13" x14ac:dyDescent="0.25">
      <c r="B400" s="517"/>
      <c r="C400" s="46"/>
    </row>
    <row r="401" spans="2:13" s="3" customFormat="1" ht="13" x14ac:dyDescent="0.3">
      <c r="B401" s="517"/>
      <c r="D401" s="57"/>
      <c r="E401" s="549" t="s">
        <v>229</v>
      </c>
      <c r="F401" s="554"/>
      <c r="G401" s="554"/>
      <c r="H401" s="554"/>
      <c r="I401" s="554"/>
      <c r="J401" s="554"/>
      <c r="K401" s="142"/>
      <c r="L401" s="142"/>
      <c r="M401" s="143"/>
    </row>
    <row r="402" spans="2:13" s="3" customFormat="1" ht="13" x14ac:dyDescent="0.3">
      <c r="B402" s="517"/>
      <c r="D402" s="57"/>
      <c r="E402" s="554"/>
      <c r="F402" s="554"/>
      <c r="G402" s="554"/>
      <c r="H402" s="554"/>
      <c r="I402" s="554"/>
      <c r="J402" s="554"/>
      <c r="K402" s="142"/>
      <c r="L402" s="142"/>
      <c r="M402" s="143"/>
    </row>
    <row r="403" spans="2:13" s="3" customFormat="1" ht="13" x14ac:dyDescent="0.3">
      <c r="B403" s="517"/>
      <c r="D403" s="57"/>
      <c r="E403" s="554"/>
      <c r="F403" s="554"/>
      <c r="G403" s="554"/>
      <c r="H403" s="554"/>
      <c r="I403" s="554"/>
      <c r="J403" s="554"/>
      <c r="K403" s="142"/>
      <c r="L403" s="142"/>
      <c r="M403" s="143"/>
    </row>
    <row r="404" spans="2:13" s="3" customFormat="1" ht="39" x14ac:dyDescent="0.3">
      <c r="B404" s="395" t="str">
        <f>'III. Data Inputs-BE'!B59</f>
        <v>Population 9</v>
      </c>
      <c r="C404" s="453" t="str">
        <f>'III. Data Inputs-BE'!B121</f>
        <v>Liquid/Slurry w/natural crust cover</v>
      </c>
      <c r="D404" s="138"/>
      <c r="E404" s="57"/>
      <c r="F404" s="57"/>
      <c r="G404" s="57"/>
      <c r="H404" s="57"/>
      <c r="I404" s="57"/>
      <c r="J404" s="57"/>
      <c r="K404" s="142"/>
      <c r="L404" s="142"/>
      <c r="M404" s="143"/>
    </row>
    <row r="405" spans="2:13" s="3" customFormat="1" ht="15" x14ac:dyDescent="0.3">
      <c r="B405" s="524" t="s">
        <v>383</v>
      </c>
      <c r="C405" s="454">
        <f>'III. Data Inputs-BE'!D101</f>
        <v>0</v>
      </c>
      <c r="D405" s="41"/>
      <c r="E405" s="58"/>
      <c r="F405" s="57"/>
      <c r="G405" s="57"/>
      <c r="H405" s="57"/>
      <c r="I405" s="57"/>
      <c r="J405" s="57"/>
      <c r="K405" s="142"/>
      <c r="L405" s="142"/>
      <c r="M405" s="143"/>
    </row>
    <row r="406" spans="2:13" s="3" customFormat="1" ht="13" x14ac:dyDescent="0.3">
      <c r="B406" s="524"/>
      <c r="C406" s="128"/>
      <c r="D406" s="41"/>
      <c r="E406" s="58"/>
      <c r="F406" s="57"/>
      <c r="G406" s="57"/>
      <c r="H406" s="57"/>
      <c r="I406" s="57"/>
      <c r="J406" s="57"/>
      <c r="K406" s="142"/>
      <c r="L406" s="142"/>
      <c r="M406" s="143"/>
    </row>
    <row r="407" spans="2:13" s="3" customFormat="1" ht="29" x14ac:dyDescent="0.4">
      <c r="B407" s="369" t="s">
        <v>195</v>
      </c>
      <c r="C407" s="128" t="s">
        <v>384</v>
      </c>
      <c r="D407" s="447" t="s">
        <v>385</v>
      </c>
      <c r="E407" s="448" t="s">
        <v>386</v>
      </c>
      <c r="F407" s="435" t="s">
        <v>387</v>
      </c>
      <c r="G407" s="448" t="s">
        <v>388</v>
      </c>
      <c r="H407" s="435" t="s">
        <v>389</v>
      </c>
      <c r="I407" s="435" t="s">
        <v>390</v>
      </c>
      <c r="J407" s="435" t="s">
        <v>391</v>
      </c>
      <c r="K407" s="142"/>
      <c r="L407" s="142"/>
      <c r="M407" s="143"/>
    </row>
    <row r="408" spans="2:13" s="3" customFormat="1" ht="13" x14ac:dyDescent="0.3">
      <c r="B408" s="292" t="str">
        <f>'III. Data Inputs-BE'!$B$33</f>
        <v>January</v>
      </c>
      <c r="C408" s="140">
        <f>'III. Data Inputs-BE'!$E$33</f>
        <v>31</v>
      </c>
      <c r="D408" s="452">
        <f>MIN(0.95, MAX(0.104,EXP(15175*(('III. Data Inputs-BE'!$C$33+273)-303.16)/(1.987*('III. Data Inputs-BE'!$C$33+273)*303.16))))</f>
        <v>0.104</v>
      </c>
      <c r="E408" s="300">
        <f t="shared" ref="E408:E419" si="48">$C$405</f>
        <v>0</v>
      </c>
      <c r="F408" s="148">
        <f>(E408*'III. Data Inputs-BE'!K70*'III. Data Inputs-BE'!$K$175*C408*0.8)+G408</f>
        <v>0</v>
      </c>
      <c r="G408" s="449">
        <v>0</v>
      </c>
      <c r="H408" s="148">
        <f>F408*D408</f>
        <v>0</v>
      </c>
      <c r="I408" s="148">
        <f>IF('III. Data Inputs-BE'!D33=0,0,H408*'III. Data Inputs-BE'!$C$115*0.68*0.001)*('III. Data Inputs-BE'!G33/'III. Data Inputs-BE'!E33)</f>
        <v>0</v>
      </c>
      <c r="J408" s="148">
        <f t="shared" ref="J408:J419" si="49">I408*gwp_ch4</f>
        <v>0</v>
      </c>
      <c r="K408" s="142"/>
      <c r="L408" s="142"/>
      <c r="M408" s="143"/>
    </row>
    <row r="409" spans="2:13" s="3" customFormat="1" ht="13" x14ac:dyDescent="0.3">
      <c r="B409" s="292" t="str">
        <f>'III. Data Inputs-BE'!$B$34</f>
        <v>February</v>
      </c>
      <c r="C409" s="140">
        <f>'III. Data Inputs-BE'!$E$34</f>
        <v>28</v>
      </c>
      <c r="D409" s="452">
        <f>MIN(0.95, MAX(0.104,EXP(15175*(('III. Data Inputs-BE'!$C$34+273)-303.16)/(1.987*('III. Data Inputs-BE'!$C$34+273)*303.16))))</f>
        <v>0.104</v>
      </c>
      <c r="E409" s="300">
        <f t="shared" si="48"/>
        <v>0</v>
      </c>
      <c r="F409" s="148">
        <f>(E409*'III. Data Inputs-BE'!K71*'III. Data Inputs-BE'!$K$175*C409*0.8)+G409</f>
        <v>0</v>
      </c>
      <c r="G409" s="450">
        <f>IF('III. Data Inputs-BE'!$H$34=TRUE,0,IF('III. Data Inputs-BE'!$C$138="Yes",0,(F408-H408)*(1-INDEX('III. Data Inputs-BE'!$B$141:$D$154, MATCH('V. BE CH4,AS'!B408, 'III. Data Inputs-BE'!$B$141:$B$154,0), MATCH('V. BE CH4,AS'!$C$404,'III. Data Inputs-BE'!$B$141:$D$141,0)))))</f>
        <v>0</v>
      </c>
      <c r="H409" s="148">
        <f t="shared" ref="H409:H419" si="50">F409*D409</f>
        <v>0</v>
      </c>
      <c r="I409" s="148">
        <f>IF('III. Data Inputs-BE'!D34=0,0,H409*'III. Data Inputs-BE'!$C$115*0.68*0.001)*('III. Data Inputs-BE'!G34/'III. Data Inputs-BE'!E34)</f>
        <v>0</v>
      </c>
      <c r="J409" s="148">
        <f t="shared" si="49"/>
        <v>0</v>
      </c>
      <c r="K409" s="142"/>
      <c r="L409" s="142"/>
      <c r="M409" s="143"/>
    </row>
    <row r="410" spans="2:13" s="3" customFormat="1" ht="13" x14ac:dyDescent="0.3">
      <c r="B410" s="292" t="str">
        <f>'III. Data Inputs-BE'!$B$35</f>
        <v>March</v>
      </c>
      <c r="C410" s="140">
        <f>'III. Data Inputs-BE'!$E$35</f>
        <v>31</v>
      </c>
      <c r="D410" s="452">
        <f>MIN(0.95, MAX(0.104,EXP(15175*(('III. Data Inputs-BE'!$C$35+273)-303.16)/(1.987*('III. Data Inputs-BE'!$C$35+273)*303.16))))</f>
        <v>0.104</v>
      </c>
      <c r="E410" s="300">
        <f t="shared" si="48"/>
        <v>0</v>
      </c>
      <c r="F410" s="148">
        <f>(E410*'III. Data Inputs-BE'!K72*'III. Data Inputs-BE'!$K$175*C410*0.8)+G410</f>
        <v>0</v>
      </c>
      <c r="G410" s="450">
        <f>IF('III. Data Inputs-BE'!$H$34=TRUE,0,IF('III. Data Inputs-BE'!$C$138="Yes",0,(F409-H409)*(1-INDEX('III. Data Inputs-BE'!$B$141:$D$154, MATCH('V. BE CH4,AS'!B409, 'III. Data Inputs-BE'!$B$141:$B$154,0), MATCH('V. BE CH4,AS'!$C$404,'III. Data Inputs-BE'!$B$141:$D$141,0)))))</f>
        <v>0</v>
      </c>
      <c r="H410" s="148">
        <f t="shared" si="50"/>
        <v>0</v>
      </c>
      <c r="I410" s="148">
        <f>IF('III. Data Inputs-BE'!D35=0,0,H410*'III. Data Inputs-BE'!$C$115*0.68*0.001)*('III. Data Inputs-BE'!G35/'III. Data Inputs-BE'!E35)</f>
        <v>0</v>
      </c>
      <c r="J410" s="148">
        <f t="shared" si="49"/>
        <v>0</v>
      </c>
      <c r="K410" s="142"/>
      <c r="L410" s="142"/>
      <c r="M410" s="143"/>
    </row>
    <row r="411" spans="2:13" s="3" customFormat="1" ht="13" x14ac:dyDescent="0.3">
      <c r="B411" s="292" t="str">
        <f>'III. Data Inputs-BE'!$B$36</f>
        <v>April</v>
      </c>
      <c r="C411" s="140">
        <f>'III. Data Inputs-BE'!$E$36</f>
        <v>30</v>
      </c>
      <c r="D411" s="452">
        <f>MIN(0.95, MAX(0.104,EXP(15175*(('III. Data Inputs-BE'!$C$36+273)-303.16)/(1.987*('III. Data Inputs-BE'!$C$36+273)*303.16))))</f>
        <v>0.104</v>
      </c>
      <c r="E411" s="300">
        <f t="shared" si="48"/>
        <v>0</v>
      </c>
      <c r="F411" s="148">
        <f>(E411*'III. Data Inputs-BE'!K73*'III. Data Inputs-BE'!$K$175*C411*0.8)+G411</f>
        <v>0</v>
      </c>
      <c r="G411" s="450">
        <f>IF('III. Data Inputs-BE'!$H$34=TRUE,0,IF('III. Data Inputs-BE'!$C$138="Yes",0,(F410-H410)*(1-INDEX('III. Data Inputs-BE'!$B$141:$D$154, MATCH('V. BE CH4,AS'!B410, 'III. Data Inputs-BE'!$B$141:$B$154,0), MATCH('V. BE CH4,AS'!$C$404,'III. Data Inputs-BE'!$B$141:$D$141,0)))))</f>
        <v>0</v>
      </c>
      <c r="H411" s="148">
        <f t="shared" si="50"/>
        <v>0</v>
      </c>
      <c r="I411" s="148">
        <f>IF('III. Data Inputs-BE'!D36=0,0,H411*'III. Data Inputs-BE'!$C$115*0.68*0.001)*('III. Data Inputs-BE'!G36/'III. Data Inputs-BE'!E36)</f>
        <v>0</v>
      </c>
      <c r="J411" s="148">
        <f t="shared" si="49"/>
        <v>0</v>
      </c>
      <c r="K411" s="142"/>
      <c r="L411" s="142"/>
      <c r="M411" s="143"/>
    </row>
    <row r="412" spans="2:13" s="3" customFormat="1" ht="13" x14ac:dyDescent="0.3">
      <c r="B412" s="292" t="str">
        <f>'III. Data Inputs-BE'!$B$37</f>
        <v>May</v>
      </c>
      <c r="C412" s="140">
        <f>'III. Data Inputs-BE'!$E$37</f>
        <v>31</v>
      </c>
      <c r="D412" s="452">
        <f>MIN(0.95, MAX(0.104,EXP(15175*(('III. Data Inputs-BE'!$C$37+273)-303.16)/(1.987*('III. Data Inputs-BE'!$C$37+273)*303.16))))</f>
        <v>0.104</v>
      </c>
      <c r="E412" s="300">
        <f t="shared" si="48"/>
        <v>0</v>
      </c>
      <c r="F412" s="148">
        <f>(E412*'III. Data Inputs-BE'!K74*'III. Data Inputs-BE'!$K$175*C412*0.8)+G412</f>
        <v>0</v>
      </c>
      <c r="G412" s="450">
        <f>IF('III. Data Inputs-BE'!$H$34=TRUE,0,IF('III. Data Inputs-BE'!$C$138="Yes",0,(F411-H411)*(1-INDEX('III. Data Inputs-BE'!$B$141:$D$154, MATCH('V. BE CH4,AS'!B411, 'III. Data Inputs-BE'!$B$141:$B$154,0), MATCH('V. BE CH4,AS'!$C$404,'III. Data Inputs-BE'!$B$141:$D$141,0)))))</f>
        <v>0</v>
      </c>
      <c r="H412" s="148">
        <f t="shared" si="50"/>
        <v>0</v>
      </c>
      <c r="I412" s="148">
        <f>IF('III. Data Inputs-BE'!D37=0,0,H412*'III. Data Inputs-BE'!$C$115*0.68*0.001)*('III. Data Inputs-BE'!G37/'III. Data Inputs-BE'!E37)</f>
        <v>0</v>
      </c>
      <c r="J412" s="148">
        <f t="shared" si="49"/>
        <v>0</v>
      </c>
      <c r="K412" s="142"/>
      <c r="L412" s="142"/>
      <c r="M412" s="143"/>
    </row>
    <row r="413" spans="2:13" s="3" customFormat="1" ht="13" x14ac:dyDescent="0.3">
      <c r="B413" s="292" t="str">
        <f>'III. Data Inputs-BE'!$B$38</f>
        <v>June</v>
      </c>
      <c r="C413" s="140">
        <f>'III. Data Inputs-BE'!$E$38</f>
        <v>30</v>
      </c>
      <c r="D413" s="452">
        <f>MIN(0.95, MAX(0.104,EXP(15175*(('III. Data Inputs-BE'!$C$38+273)-303.16)/(1.987*('III. Data Inputs-BE'!$C$38+273)*303.16))))</f>
        <v>0.104</v>
      </c>
      <c r="E413" s="300">
        <f t="shared" si="48"/>
        <v>0</v>
      </c>
      <c r="F413" s="148">
        <f>(E413*'III. Data Inputs-BE'!K75*'III. Data Inputs-BE'!$K$175*C413*0.8)+G413</f>
        <v>0</v>
      </c>
      <c r="G413" s="450">
        <f>IF('III. Data Inputs-BE'!$H$34=TRUE,0,IF('III. Data Inputs-BE'!$C$138="Yes",0,(F412-H412)*(1-INDEX('III. Data Inputs-BE'!$B$141:$D$154, MATCH('V. BE CH4,AS'!B412, 'III. Data Inputs-BE'!$B$141:$B$154,0), MATCH('V. BE CH4,AS'!$C$404,'III. Data Inputs-BE'!$B$141:$D$141,0)))))</f>
        <v>0</v>
      </c>
      <c r="H413" s="148">
        <f t="shared" si="50"/>
        <v>0</v>
      </c>
      <c r="I413" s="148">
        <f>IF('III. Data Inputs-BE'!D38=0,0,H413*'III. Data Inputs-BE'!$C$115*0.68*0.001)*('III. Data Inputs-BE'!G38/'III. Data Inputs-BE'!E38)</f>
        <v>0</v>
      </c>
      <c r="J413" s="148">
        <f t="shared" si="49"/>
        <v>0</v>
      </c>
      <c r="K413" s="142"/>
      <c r="L413" s="142"/>
      <c r="M413" s="143"/>
    </row>
    <row r="414" spans="2:13" s="3" customFormat="1" ht="13" x14ac:dyDescent="0.3">
      <c r="B414" s="292" t="str">
        <f>'III. Data Inputs-BE'!$B$39</f>
        <v>July</v>
      </c>
      <c r="C414" s="140">
        <f>'III. Data Inputs-BE'!$E$39</f>
        <v>31</v>
      </c>
      <c r="D414" s="452">
        <f>MIN(0.95, MAX(0.104,EXP(15175*(('III. Data Inputs-BE'!$C$39+273)-303.16)/(1.987*('III. Data Inputs-BE'!$C$39+273)*303.16))))</f>
        <v>0.104</v>
      </c>
      <c r="E414" s="300">
        <f t="shared" si="48"/>
        <v>0</v>
      </c>
      <c r="F414" s="148">
        <f>(E414*'III. Data Inputs-BE'!K76*'III. Data Inputs-BE'!$K$175*C414*0.8)+G414</f>
        <v>0</v>
      </c>
      <c r="G414" s="450">
        <f>IF('III. Data Inputs-BE'!$H$34=TRUE,0,IF('III. Data Inputs-BE'!$C$138="Yes",0,(F413-H413)*(1-INDEX('III. Data Inputs-BE'!$B$141:$D$154, MATCH('V. BE CH4,AS'!B413, 'III. Data Inputs-BE'!$B$141:$B$154,0), MATCH('V. BE CH4,AS'!$C$404,'III. Data Inputs-BE'!$B$141:$D$141,0)))))</f>
        <v>0</v>
      </c>
      <c r="H414" s="148">
        <f t="shared" si="50"/>
        <v>0</v>
      </c>
      <c r="I414" s="148">
        <f>IF('III. Data Inputs-BE'!D39=0,0,H414*'III. Data Inputs-BE'!$C$115*0.68*0.001)*('III. Data Inputs-BE'!G39/'III. Data Inputs-BE'!E39)</f>
        <v>0</v>
      </c>
      <c r="J414" s="148">
        <f t="shared" si="49"/>
        <v>0</v>
      </c>
      <c r="K414" s="142"/>
      <c r="L414" s="142"/>
      <c r="M414" s="143"/>
    </row>
    <row r="415" spans="2:13" s="3" customFormat="1" ht="13" x14ac:dyDescent="0.3">
      <c r="B415" s="292" t="str">
        <f>'III. Data Inputs-BE'!$B$40</f>
        <v>August</v>
      </c>
      <c r="C415" s="140">
        <f>'III. Data Inputs-BE'!$E$40</f>
        <v>31</v>
      </c>
      <c r="D415" s="452">
        <f>MIN(0.95, MAX(0.104,EXP(15175*(('III. Data Inputs-BE'!$C$40+273)-303.16)/(1.987*('III. Data Inputs-BE'!$C$40+273)*303.16))))</f>
        <v>0.104</v>
      </c>
      <c r="E415" s="300">
        <f t="shared" si="48"/>
        <v>0</v>
      </c>
      <c r="F415" s="148">
        <f>(E415*'III. Data Inputs-BE'!K77*'III. Data Inputs-BE'!$K$175*C415*0.8)+G415</f>
        <v>0</v>
      </c>
      <c r="G415" s="450">
        <f>IF('III. Data Inputs-BE'!$H$34=TRUE,0,IF('III. Data Inputs-BE'!$C$138="Yes",0,(F414-H414)*(1-INDEX('III. Data Inputs-BE'!$B$141:$D$154, MATCH('V. BE CH4,AS'!B414, 'III. Data Inputs-BE'!$B$141:$B$154,0), MATCH('V. BE CH4,AS'!$C$404,'III. Data Inputs-BE'!$B$141:$D$141,0)))))</f>
        <v>0</v>
      </c>
      <c r="H415" s="148">
        <f t="shared" si="50"/>
        <v>0</v>
      </c>
      <c r="I415" s="148">
        <f>IF('III. Data Inputs-BE'!D40=0,0,H415*'III. Data Inputs-BE'!$C$115*0.68*0.001)*('III. Data Inputs-BE'!G40/'III. Data Inputs-BE'!E40)</f>
        <v>0</v>
      </c>
      <c r="J415" s="148">
        <f t="shared" si="49"/>
        <v>0</v>
      </c>
      <c r="K415" s="142"/>
      <c r="L415" s="142"/>
      <c r="M415" s="143"/>
    </row>
    <row r="416" spans="2:13" s="3" customFormat="1" ht="13" x14ac:dyDescent="0.3">
      <c r="B416" s="292" t="str">
        <f>'III. Data Inputs-BE'!$B$41</f>
        <v>September</v>
      </c>
      <c r="C416" s="140">
        <f>'III. Data Inputs-BE'!$E$41</f>
        <v>30</v>
      </c>
      <c r="D416" s="452">
        <f>MIN(0.95, MAX(0.104,EXP(15175*(('III. Data Inputs-BE'!$C$41+273)-303.16)/(1.987*('III. Data Inputs-BE'!$C$41+273)*303.16))))</f>
        <v>0.104</v>
      </c>
      <c r="E416" s="300">
        <f t="shared" si="48"/>
        <v>0</v>
      </c>
      <c r="F416" s="148">
        <f>(E416*'III. Data Inputs-BE'!K78*'III. Data Inputs-BE'!$K$175*C416*0.8)+G416</f>
        <v>0</v>
      </c>
      <c r="G416" s="450">
        <f>IF('III. Data Inputs-BE'!$H$34=TRUE,0,IF('III. Data Inputs-BE'!$C$138="Yes",0,(F415-H415)*(1-INDEX('III. Data Inputs-BE'!$B$141:$D$154, MATCH('V. BE CH4,AS'!B415, 'III. Data Inputs-BE'!$B$141:$B$154,0), MATCH('V. BE CH4,AS'!$C$404,'III. Data Inputs-BE'!$B$141:$D$141,0)))))</f>
        <v>0</v>
      </c>
      <c r="H416" s="148">
        <f t="shared" si="50"/>
        <v>0</v>
      </c>
      <c r="I416" s="148">
        <f>IF('III. Data Inputs-BE'!D41=0,0,H416*'III. Data Inputs-BE'!$C$115*0.68*0.001)*('III. Data Inputs-BE'!G41/'III. Data Inputs-BE'!E41)</f>
        <v>0</v>
      </c>
      <c r="J416" s="148">
        <f t="shared" si="49"/>
        <v>0</v>
      </c>
      <c r="K416" s="142"/>
      <c r="L416" s="142"/>
      <c r="M416" s="143"/>
    </row>
    <row r="417" spans="1:94" s="3" customFormat="1" ht="13" x14ac:dyDescent="0.3">
      <c r="B417" s="292" t="str">
        <f>'III. Data Inputs-BE'!$B$42</f>
        <v>October</v>
      </c>
      <c r="C417" s="140">
        <f>'III. Data Inputs-BE'!$E$42</f>
        <v>31</v>
      </c>
      <c r="D417" s="452">
        <f>MIN(0.95, MAX(0.104,EXP(15175*(('III. Data Inputs-BE'!$C$42+273)-303.16)/(1.987*('III. Data Inputs-BE'!$C$42+273)*303.16))))</f>
        <v>0.104</v>
      </c>
      <c r="E417" s="300">
        <f t="shared" si="48"/>
        <v>0</v>
      </c>
      <c r="F417" s="148">
        <f>(E417*'III. Data Inputs-BE'!K79*'III. Data Inputs-BE'!$K$175*C417*0.8)+G417</f>
        <v>0</v>
      </c>
      <c r="G417" s="450">
        <f>IF('III. Data Inputs-BE'!$H$34=TRUE,0,IF('III. Data Inputs-BE'!$C$138="Yes",0,(F416-H416)*(1-INDEX('III. Data Inputs-BE'!$B$141:$D$154, MATCH('V. BE CH4,AS'!B416, 'III. Data Inputs-BE'!$B$141:$B$154,0), MATCH('V. BE CH4,AS'!$C$404,'III. Data Inputs-BE'!$B$141:$D$141,0)))))</f>
        <v>0</v>
      </c>
      <c r="H417" s="148">
        <f t="shared" si="50"/>
        <v>0</v>
      </c>
      <c r="I417" s="148">
        <f>IF('III. Data Inputs-BE'!D42=0,0,H417*'III. Data Inputs-BE'!$C$115*0.68*0.001)*('III. Data Inputs-BE'!G42/'III. Data Inputs-BE'!E42)</f>
        <v>0</v>
      </c>
      <c r="J417" s="148">
        <f t="shared" si="49"/>
        <v>0</v>
      </c>
      <c r="K417" s="142"/>
      <c r="L417" s="142"/>
      <c r="M417" s="143"/>
    </row>
    <row r="418" spans="1:94" s="3" customFormat="1" ht="13" x14ac:dyDescent="0.3">
      <c r="B418" s="292" t="str">
        <f>'III. Data Inputs-BE'!$B$43</f>
        <v>November</v>
      </c>
      <c r="C418" s="140">
        <f>'III. Data Inputs-BE'!$E$43</f>
        <v>30</v>
      </c>
      <c r="D418" s="452">
        <f>MIN(0.95, MAX(0.104,EXP(15175*(('III. Data Inputs-BE'!$C$43+273)-303.16)/(1.987*('III. Data Inputs-BE'!$C$43+273)*303.16))))</f>
        <v>0.104</v>
      </c>
      <c r="E418" s="300">
        <f t="shared" si="48"/>
        <v>0</v>
      </c>
      <c r="F418" s="148">
        <f>(E418*'III. Data Inputs-BE'!K80*'III. Data Inputs-BE'!$K$175*C418*0.8)+G418</f>
        <v>0</v>
      </c>
      <c r="G418" s="450">
        <f>IF('III. Data Inputs-BE'!$H$34=TRUE,0,IF('III. Data Inputs-BE'!$C$138="Yes",0,(F417-H417)*(1-INDEX('III. Data Inputs-BE'!$B$141:$D$154, MATCH('V. BE CH4,AS'!B417, 'III. Data Inputs-BE'!$B$141:$B$154,0), MATCH('V. BE CH4,AS'!$C$404,'III. Data Inputs-BE'!$B$141:$D$141,0)))))</f>
        <v>0</v>
      </c>
      <c r="H418" s="148">
        <f t="shared" si="50"/>
        <v>0</v>
      </c>
      <c r="I418" s="148">
        <f>IF('III. Data Inputs-BE'!D43=0,0,H418*'III. Data Inputs-BE'!$C$115*0.68*0.001)*('III. Data Inputs-BE'!G43/'III. Data Inputs-BE'!E43)</f>
        <v>0</v>
      </c>
      <c r="J418" s="148">
        <f t="shared" si="49"/>
        <v>0</v>
      </c>
      <c r="K418" s="142"/>
      <c r="L418" s="142"/>
      <c r="M418" s="143"/>
    </row>
    <row r="419" spans="1:94" s="3" customFormat="1" ht="13" x14ac:dyDescent="0.3">
      <c r="B419" s="528" t="str">
        <f>'III. Data Inputs-BE'!$B$44</f>
        <v>December</v>
      </c>
      <c r="C419" s="464">
        <f>'III. Data Inputs-BE'!$E$44</f>
        <v>31</v>
      </c>
      <c r="D419" s="452">
        <f>MIN(0.95, MAX(0.104,EXP(15175*(('III. Data Inputs-BE'!$C$44+273)-303.16)/(1.987*('III. Data Inputs-BE'!$C$44+273)*303.16))))</f>
        <v>0.104</v>
      </c>
      <c r="E419" s="466">
        <f t="shared" si="48"/>
        <v>0</v>
      </c>
      <c r="F419" s="465">
        <f>(E419*'III. Data Inputs-BE'!K81*'III. Data Inputs-BE'!$K$175*C419*0.8)+G419</f>
        <v>0</v>
      </c>
      <c r="G419" s="467">
        <f>IF('III. Data Inputs-BE'!$H$34=TRUE,0,IF('III. Data Inputs-BE'!$C$138="Yes",0,(F418-H418)*(1-INDEX('III. Data Inputs-BE'!$B$141:$D$154, MATCH('V. BE CH4,AS'!B418, 'III. Data Inputs-BE'!$B$141:$B$154,0), MATCH('V. BE CH4,AS'!$C$404,'III. Data Inputs-BE'!$B$141:$D$141,0)))))</f>
        <v>0</v>
      </c>
      <c r="H419" s="148">
        <f t="shared" si="50"/>
        <v>0</v>
      </c>
      <c r="I419" s="148">
        <f>IF('III. Data Inputs-BE'!D44=0,0,H419*'III. Data Inputs-BE'!$C$115*0.68*0.001)*('III. Data Inputs-BE'!G44/'III. Data Inputs-BE'!E44)</f>
        <v>0</v>
      </c>
      <c r="J419" s="148">
        <f t="shared" si="49"/>
        <v>0</v>
      </c>
      <c r="K419" s="142"/>
      <c r="L419" s="142"/>
      <c r="M419" s="143"/>
    </row>
    <row r="420" spans="1:94" s="3" customFormat="1" ht="13" x14ac:dyDescent="0.3">
      <c r="B420" s="525" t="s">
        <v>392</v>
      </c>
      <c r="C420" s="468"/>
      <c r="D420" s="456"/>
      <c r="E420" s="456"/>
      <c r="F420" s="469"/>
      <c r="G420" s="470"/>
      <c r="H420" s="471">
        <f>SUM(H408:H419)</f>
        <v>0</v>
      </c>
      <c r="I420" s="462">
        <f>SUM(I408:I419)</f>
        <v>0</v>
      </c>
      <c r="J420" s="462">
        <f>SUM(J408:J419)</f>
        <v>0</v>
      </c>
      <c r="K420" s="142"/>
      <c r="L420" s="142"/>
      <c r="M420" s="143"/>
    </row>
    <row r="421" spans="1:94" s="3" customFormat="1" ht="13" x14ac:dyDescent="0.3">
      <c r="B421" s="517"/>
      <c r="D421" s="57"/>
      <c r="E421" s="57"/>
      <c r="F421" s="58"/>
      <c r="G421" s="58"/>
      <c r="H421" s="58"/>
      <c r="I421" s="58"/>
      <c r="J421" s="58"/>
      <c r="K421" s="142"/>
      <c r="L421" s="142"/>
      <c r="M421" s="143"/>
    </row>
    <row r="422" spans="1:94" s="152" customFormat="1" ht="13" x14ac:dyDescent="0.3">
      <c r="A422" s="3"/>
      <c r="B422" s="526" t="s">
        <v>393</v>
      </c>
      <c r="C422" s="428"/>
      <c r="D422" s="460"/>
      <c r="E422" s="460"/>
      <c r="F422" s="461"/>
      <c r="G422" s="472">
        <f>F419-H419</f>
        <v>0</v>
      </c>
      <c r="H422" s="58"/>
      <c r="I422" s="58"/>
      <c r="J422" s="58"/>
      <c r="K422" s="142"/>
      <c r="L422" s="142"/>
      <c r="M422" s="14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c r="AV422" s="3"/>
      <c r="AW422" s="3"/>
      <c r="AX422" s="3"/>
      <c r="AY422" s="3"/>
      <c r="AZ422" s="3"/>
      <c r="BA422" s="3"/>
      <c r="BB422" s="3"/>
      <c r="BC422" s="3"/>
      <c r="BD422" s="3"/>
      <c r="BE422" s="3"/>
      <c r="BF422" s="3"/>
      <c r="BG422" s="3"/>
      <c r="BH422" s="3"/>
      <c r="BI422" s="3"/>
      <c r="BJ422" s="3"/>
      <c r="BK422" s="3"/>
      <c r="BL422" s="3"/>
      <c r="BM422" s="3"/>
      <c r="BN422" s="3"/>
      <c r="BO422" s="3"/>
      <c r="BP422" s="3"/>
      <c r="BQ422" s="3"/>
      <c r="BR422" s="3"/>
      <c r="BS422" s="3"/>
      <c r="BT422" s="3"/>
      <c r="BU422" s="3"/>
      <c r="BV422" s="3"/>
      <c r="BW422" s="3"/>
      <c r="BX422" s="3"/>
      <c r="BY422" s="3"/>
      <c r="BZ422" s="3"/>
      <c r="CA422" s="3"/>
      <c r="CB422" s="3"/>
      <c r="CC422" s="3"/>
      <c r="CD422" s="3"/>
      <c r="CE422" s="3"/>
      <c r="CF422" s="3"/>
      <c r="CG422" s="3"/>
      <c r="CH422" s="3"/>
      <c r="CI422" s="3"/>
      <c r="CJ422" s="3"/>
      <c r="CK422" s="3"/>
      <c r="CL422" s="3"/>
      <c r="CM422" s="3"/>
      <c r="CN422" s="3"/>
      <c r="CO422" s="3"/>
      <c r="CP422" s="3"/>
    </row>
    <row r="423" spans="1:94" s="3" customFormat="1" ht="62.5" x14ac:dyDescent="0.3">
      <c r="B423" s="47"/>
      <c r="C423" s="13"/>
      <c r="D423" s="41"/>
      <c r="E423" s="41"/>
      <c r="F423" s="41"/>
      <c r="G423" s="459" t="s">
        <v>394</v>
      </c>
      <c r="H423" s="58"/>
      <c r="I423" s="58"/>
      <c r="J423" s="58"/>
      <c r="K423" s="142"/>
      <c r="L423" s="142"/>
      <c r="M423" s="143"/>
    </row>
    <row r="424" spans="1:94" s="3" customFormat="1" ht="13" x14ac:dyDescent="0.3">
      <c r="B424" s="517"/>
      <c r="D424" s="57"/>
      <c r="E424" s="57"/>
      <c r="F424" s="58"/>
      <c r="G424" s="58"/>
      <c r="H424" s="58"/>
      <c r="I424" s="58"/>
      <c r="J424" s="58"/>
      <c r="K424" s="142"/>
      <c r="L424" s="142"/>
      <c r="M424" s="143"/>
    </row>
    <row r="425" spans="1:94" s="3" customFormat="1" ht="13" x14ac:dyDescent="0.3">
      <c r="B425" s="517"/>
      <c r="D425" s="57"/>
      <c r="E425" s="57"/>
      <c r="F425" s="58"/>
      <c r="G425" s="58"/>
      <c r="H425" s="58"/>
      <c r="I425" s="58"/>
      <c r="J425" s="58"/>
      <c r="K425" s="142"/>
      <c r="L425" s="142"/>
      <c r="M425" s="143"/>
    </row>
    <row r="426" spans="1:94" s="3" customFormat="1" ht="13" x14ac:dyDescent="0.3">
      <c r="B426" s="517"/>
      <c r="D426" s="57"/>
      <c r="E426" s="549" t="s">
        <v>229</v>
      </c>
      <c r="F426" s="554"/>
      <c r="G426" s="554"/>
      <c r="H426" s="554"/>
      <c r="I426" s="554"/>
      <c r="J426" s="554"/>
      <c r="K426" s="142"/>
      <c r="L426" s="142"/>
      <c r="M426" s="143"/>
    </row>
    <row r="427" spans="1:94" s="3" customFormat="1" ht="13" x14ac:dyDescent="0.3">
      <c r="B427" s="517"/>
      <c r="D427" s="57"/>
      <c r="E427" s="554"/>
      <c r="F427" s="554"/>
      <c r="G427" s="554"/>
      <c r="H427" s="554"/>
      <c r="I427" s="554"/>
      <c r="J427" s="554"/>
      <c r="K427" s="142"/>
      <c r="L427" s="142"/>
      <c r="M427" s="143"/>
    </row>
    <row r="428" spans="1:94" s="3" customFormat="1" ht="13" x14ac:dyDescent="0.3">
      <c r="B428" s="395" t="str">
        <f>B404</f>
        <v>Population 9</v>
      </c>
      <c r="C428" s="453">
        <f>'III. Data Inputs-BE'!B122</f>
        <v>0</v>
      </c>
      <c r="D428" s="138"/>
      <c r="E428" s="554"/>
      <c r="F428" s="554"/>
      <c r="G428" s="554"/>
      <c r="H428" s="554"/>
      <c r="I428" s="554"/>
      <c r="J428" s="554"/>
      <c r="K428" s="142"/>
      <c r="L428" s="142"/>
      <c r="M428" s="143"/>
    </row>
    <row r="429" spans="1:94" s="3" customFormat="1" ht="15" x14ac:dyDescent="0.3">
      <c r="B429" s="524" t="s">
        <v>383</v>
      </c>
      <c r="C429" s="454">
        <f>C405</f>
        <v>0</v>
      </c>
      <c r="D429" s="41"/>
      <c r="E429" s="58"/>
      <c r="F429" s="57"/>
      <c r="G429" s="57"/>
      <c r="H429" s="57"/>
      <c r="I429" s="57"/>
      <c r="J429" s="57"/>
      <c r="K429" s="142"/>
      <c r="L429" s="142"/>
      <c r="M429" s="143"/>
    </row>
    <row r="430" spans="1:94" s="3" customFormat="1" ht="13" x14ac:dyDescent="0.3">
      <c r="B430" s="524"/>
      <c r="C430" s="128"/>
      <c r="D430" s="41"/>
      <c r="E430" s="58"/>
      <c r="F430" s="57"/>
      <c r="G430" s="57"/>
      <c r="H430" s="57"/>
      <c r="I430" s="57"/>
      <c r="J430" s="57"/>
      <c r="K430" s="142"/>
      <c r="L430" s="142"/>
      <c r="M430" s="143"/>
    </row>
    <row r="431" spans="1:94" s="3" customFormat="1" ht="29" x14ac:dyDescent="0.4">
      <c r="B431" s="369" t="s">
        <v>195</v>
      </c>
      <c r="C431" s="128" t="s">
        <v>384</v>
      </c>
      <c r="D431" s="447" t="s">
        <v>385</v>
      </c>
      <c r="E431" s="448" t="s">
        <v>386</v>
      </c>
      <c r="F431" s="435" t="s">
        <v>387</v>
      </c>
      <c r="G431" s="448" t="s">
        <v>388</v>
      </c>
      <c r="H431" s="435" t="s">
        <v>389</v>
      </c>
      <c r="I431" s="435" t="s">
        <v>390</v>
      </c>
      <c r="J431" s="435" t="s">
        <v>391</v>
      </c>
      <c r="K431" s="142"/>
      <c r="L431" s="142"/>
      <c r="M431" s="143"/>
    </row>
    <row r="432" spans="1:94" s="3" customFormat="1" ht="13" x14ac:dyDescent="0.3">
      <c r="B432" s="292" t="str">
        <f>'III. Data Inputs-BE'!$B$33</f>
        <v>January</v>
      </c>
      <c r="C432" s="140">
        <f>'III. Data Inputs-BE'!$E$33</f>
        <v>31</v>
      </c>
      <c r="D432" s="452">
        <f>MIN(0.95, MAX(0.104,EXP(15175*(('III. Data Inputs-BE'!$C$33+273)-303.16)/(1.987*('III. Data Inputs-BE'!$C$33+273)*303.16))))</f>
        <v>0.104</v>
      </c>
      <c r="E432" s="300">
        <f t="shared" ref="E432:E443" si="51">$C$429</f>
        <v>0</v>
      </c>
      <c r="F432" s="148">
        <f>(E432*'III. Data Inputs-BE'!K70*'III. Data Inputs-BE'!$K$176*C432*0.8)+G432</f>
        <v>0</v>
      </c>
      <c r="G432" s="449">
        <v>0</v>
      </c>
      <c r="H432" s="148">
        <f>F432*D432</f>
        <v>0</v>
      </c>
      <c r="I432" s="148">
        <f>IF('III. Data Inputs-BE'!D33=0,0,H432*'III. Data Inputs-BE'!$C$115*0.68*0.001)*('III. Data Inputs-BE'!G33/'III. Data Inputs-BE'!E33)</f>
        <v>0</v>
      </c>
      <c r="J432" s="148">
        <f t="shared" ref="J432:J443" si="52">I432*gwp_ch4</f>
        <v>0</v>
      </c>
      <c r="K432" s="142"/>
      <c r="L432" s="142"/>
      <c r="M432" s="143"/>
    </row>
    <row r="433" spans="1:94" s="3" customFormat="1" ht="13" x14ac:dyDescent="0.3">
      <c r="B433" s="292" t="str">
        <f>'III. Data Inputs-BE'!$B$34</f>
        <v>February</v>
      </c>
      <c r="C433" s="140">
        <f>'III. Data Inputs-BE'!$E$34</f>
        <v>28</v>
      </c>
      <c r="D433" s="452">
        <f>MIN(0.95, MAX(0.104,EXP(15175*(('III. Data Inputs-BE'!$C$34+273)-303.16)/(1.987*('III. Data Inputs-BE'!$C$34+273)*303.16))))</f>
        <v>0.104</v>
      </c>
      <c r="E433" s="300">
        <f t="shared" si="51"/>
        <v>0</v>
      </c>
      <c r="F433" s="148">
        <f>(E433*'III. Data Inputs-BE'!K71*'III. Data Inputs-BE'!$K$176*C433*0.8)+G433</f>
        <v>0</v>
      </c>
      <c r="G433" s="450">
        <f>IF('III. Data Inputs-BE'!$H$34=TRUE,0,IF('III. Data Inputs-BE'!$C$138="Yes",0,(F432-H432)*(1-INDEX('III. Data Inputs-BE'!$B$141:$D$154, MATCH('V. BE CH4,AS'!B432, 'III. Data Inputs-BE'!$B$141:$B$154,0), MATCH('V. BE CH4,AS'!$C$428,'III. Data Inputs-BE'!$B$141:$D$141,0)))))</f>
        <v>0</v>
      </c>
      <c r="H433" s="148">
        <f t="shared" ref="H433:H443" si="53">F433*D433</f>
        <v>0</v>
      </c>
      <c r="I433" s="148">
        <f>IF('III. Data Inputs-BE'!D34=0,0,H433*'III. Data Inputs-BE'!$C$115*0.68*0.001)*('III. Data Inputs-BE'!G34/'III. Data Inputs-BE'!E34)</f>
        <v>0</v>
      </c>
      <c r="J433" s="148">
        <f t="shared" si="52"/>
        <v>0</v>
      </c>
      <c r="K433" s="142"/>
      <c r="L433" s="142"/>
      <c r="M433" s="143"/>
    </row>
    <row r="434" spans="1:94" s="3" customFormat="1" ht="13" x14ac:dyDescent="0.3">
      <c r="B434" s="292" t="str">
        <f>'III. Data Inputs-BE'!$B$35</f>
        <v>March</v>
      </c>
      <c r="C434" s="140">
        <f>'III. Data Inputs-BE'!$E$35</f>
        <v>31</v>
      </c>
      <c r="D434" s="452">
        <f>MIN(0.95, MAX(0.104,EXP(15175*(('III. Data Inputs-BE'!$C$35+273)-303.16)/(1.987*('III. Data Inputs-BE'!$C$35+273)*303.16))))</f>
        <v>0.104</v>
      </c>
      <c r="E434" s="300">
        <f t="shared" si="51"/>
        <v>0</v>
      </c>
      <c r="F434" s="148">
        <f>(E434*'III. Data Inputs-BE'!K72*'III. Data Inputs-BE'!$K$176*C434*0.8)+G434</f>
        <v>0</v>
      </c>
      <c r="G434" s="450">
        <f>IF('III. Data Inputs-BE'!$H$34=TRUE,0,IF('III. Data Inputs-BE'!$C$138="Yes",0,(F433-H433)*(1-INDEX('III. Data Inputs-BE'!$B$141:$D$154, MATCH('V. BE CH4,AS'!B433, 'III. Data Inputs-BE'!$B$141:$B$154,0), MATCH('V. BE CH4,AS'!$C$428,'III. Data Inputs-BE'!$B$141:$D$141,0)))))</f>
        <v>0</v>
      </c>
      <c r="H434" s="148">
        <f t="shared" si="53"/>
        <v>0</v>
      </c>
      <c r="I434" s="148">
        <f>IF('III. Data Inputs-BE'!D35=0,0,H434*'III. Data Inputs-BE'!$C$115*0.68*0.001)*('III. Data Inputs-BE'!G35/'III. Data Inputs-BE'!E35)</f>
        <v>0</v>
      </c>
      <c r="J434" s="148">
        <f t="shared" si="52"/>
        <v>0</v>
      </c>
      <c r="K434" s="142"/>
      <c r="L434" s="142"/>
      <c r="M434" s="143"/>
    </row>
    <row r="435" spans="1:94" s="3" customFormat="1" ht="13" x14ac:dyDescent="0.3">
      <c r="B435" s="292" t="str">
        <f>'III. Data Inputs-BE'!$B$36</f>
        <v>April</v>
      </c>
      <c r="C435" s="140">
        <f>'III. Data Inputs-BE'!$E$36</f>
        <v>30</v>
      </c>
      <c r="D435" s="452">
        <f>MIN(0.95, MAX(0.104,EXP(15175*(('III. Data Inputs-BE'!$C$36+273)-303.16)/(1.987*('III. Data Inputs-BE'!$C$36+273)*303.16))))</f>
        <v>0.104</v>
      </c>
      <c r="E435" s="300">
        <f t="shared" si="51"/>
        <v>0</v>
      </c>
      <c r="F435" s="148">
        <f>(E435*'III. Data Inputs-BE'!K73*'III. Data Inputs-BE'!$K$176*C435*0.8)+G435</f>
        <v>0</v>
      </c>
      <c r="G435" s="450">
        <f>IF('III. Data Inputs-BE'!$H$34=TRUE,0,IF('III. Data Inputs-BE'!$C$138="Yes",0,(F434-H434)*(1-INDEX('III. Data Inputs-BE'!$B$141:$D$154, MATCH('V. BE CH4,AS'!B434, 'III. Data Inputs-BE'!$B$141:$B$154,0), MATCH('V. BE CH4,AS'!$C$428,'III. Data Inputs-BE'!$B$141:$D$141,0)))))</f>
        <v>0</v>
      </c>
      <c r="H435" s="148">
        <f t="shared" si="53"/>
        <v>0</v>
      </c>
      <c r="I435" s="148">
        <f>IF('III. Data Inputs-BE'!D36=0,0,H435*'III. Data Inputs-BE'!$C$115*0.68*0.001)*('III. Data Inputs-BE'!G36/'III. Data Inputs-BE'!E36)</f>
        <v>0</v>
      </c>
      <c r="J435" s="148">
        <f t="shared" si="52"/>
        <v>0</v>
      </c>
      <c r="K435" s="142"/>
      <c r="L435" s="142"/>
      <c r="M435" s="143"/>
    </row>
    <row r="436" spans="1:94" s="3" customFormat="1" ht="13" x14ac:dyDescent="0.3">
      <c r="B436" s="292" t="str">
        <f>'III. Data Inputs-BE'!$B$37</f>
        <v>May</v>
      </c>
      <c r="C436" s="140">
        <f>'III. Data Inputs-BE'!$E$37</f>
        <v>31</v>
      </c>
      <c r="D436" s="452">
        <f>MIN(0.95, MAX(0.104,EXP(15175*(('III. Data Inputs-BE'!$C$37+273)-303.16)/(1.987*('III. Data Inputs-BE'!$C$37+273)*303.16))))</f>
        <v>0.104</v>
      </c>
      <c r="E436" s="300">
        <f t="shared" si="51"/>
        <v>0</v>
      </c>
      <c r="F436" s="148">
        <f>(E436*'III. Data Inputs-BE'!K74*'III. Data Inputs-BE'!$K$176*C436*0.8)+G436</f>
        <v>0</v>
      </c>
      <c r="G436" s="450">
        <f>IF('III. Data Inputs-BE'!$H$34=TRUE,0,IF('III. Data Inputs-BE'!$C$138="Yes",0,(F435-H435)*(1-INDEX('III. Data Inputs-BE'!$B$141:$D$154, MATCH('V. BE CH4,AS'!B435, 'III. Data Inputs-BE'!$B$141:$B$154,0), MATCH('V. BE CH4,AS'!$C$428,'III. Data Inputs-BE'!$B$141:$D$141,0)))))</f>
        <v>0</v>
      </c>
      <c r="H436" s="148">
        <f t="shared" si="53"/>
        <v>0</v>
      </c>
      <c r="I436" s="148">
        <f>IF('III. Data Inputs-BE'!D37=0,0,H436*'III. Data Inputs-BE'!$C$115*0.68*0.001)*('III. Data Inputs-BE'!G37/'III. Data Inputs-BE'!E37)</f>
        <v>0</v>
      </c>
      <c r="J436" s="148">
        <f t="shared" si="52"/>
        <v>0</v>
      </c>
      <c r="K436" s="142"/>
      <c r="L436" s="142"/>
      <c r="M436" s="143"/>
    </row>
    <row r="437" spans="1:94" s="3" customFormat="1" ht="13" x14ac:dyDescent="0.3">
      <c r="B437" s="292" t="str">
        <f>'III. Data Inputs-BE'!$B$38</f>
        <v>June</v>
      </c>
      <c r="C437" s="140">
        <f>'III. Data Inputs-BE'!$E$38</f>
        <v>30</v>
      </c>
      <c r="D437" s="452">
        <f>MIN(0.95, MAX(0.104,EXP(15175*(('III. Data Inputs-BE'!$C$38+273)-303.16)/(1.987*('III. Data Inputs-BE'!$C$38+273)*303.16))))</f>
        <v>0.104</v>
      </c>
      <c r="E437" s="300">
        <f t="shared" si="51"/>
        <v>0</v>
      </c>
      <c r="F437" s="148">
        <f>(E437*'III. Data Inputs-BE'!K75*'III. Data Inputs-BE'!$K$176*C437*0.8)+G437</f>
        <v>0</v>
      </c>
      <c r="G437" s="450">
        <f>IF('III. Data Inputs-BE'!$H$34=TRUE,0,IF('III. Data Inputs-BE'!$C$138="Yes",0,(F436-H436)*(1-INDEX('III. Data Inputs-BE'!$B$141:$D$154, MATCH('V. BE CH4,AS'!B436, 'III. Data Inputs-BE'!$B$141:$B$154,0), MATCH('V. BE CH4,AS'!$C$428,'III. Data Inputs-BE'!$B$141:$D$141,0)))))</f>
        <v>0</v>
      </c>
      <c r="H437" s="148">
        <f t="shared" si="53"/>
        <v>0</v>
      </c>
      <c r="I437" s="148">
        <f>IF('III. Data Inputs-BE'!D38=0,0,H437*'III. Data Inputs-BE'!$C$115*0.68*0.001)*('III. Data Inputs-BE'!G38/'III. Data Inputs-BE'!E38)</f>
        <v>0</v>
      </c>
      <c r="J437" s="148">
        <f t="shared" si="52"/>
        <v>0</v>
      </c>
      <c r="K437" s="142"/>
      <c r="L437" s="142"/>
      <c r="M437" s="143"/>
    </row>
    <row r="438" spans="1:94" s="3" customFormat="1" ht="13" x14ac:dyDescent="0.3">
      <c r="B438" s="292" t="str">
        <f>'III. Data Inputs-BE'!$B$39</f>
        <v>July</v>
      </c>
      <c r="C438" s="140">
        <f>'III. Data Inputs-BE'!$E$39</f>
        <v>31</v>
      </c>
      <c r="D438" s="452">
        <f>MIN(0.95, MAX(0.104,EXP(15175*(('III. Data Inputs-BE'!$C$39+273)-303.16)/(1.987*('III. Data Inputs-BE'!$C$39+273)*303.16))))</f>
        <v>0.104</v>
      </c>
      <c r="E438" s="300">
        <f t="shared" si="51"/>
        <v>0</v>
      </c>
      <c r="F438" s="148">
        <f>(E438*'III. Data Inputs-BE'!K76*'III. Data Inputs-BE'!$K$176*C438*0.8)+G438</f>
        <v>0</v>
      </c>
      <c r="G438" s="450">
        <f>IF('III. Data Inputs-BE'!$H$34=TRUE,0,IF('III. Data Inputs-BE'!$C$138="Yes",0,(F437-H437)*(1-INDEX('III. Data Inputs-BE'!$B$141:$D$154, MATCH('V. BE CH4,AS'!B437, 'III. Data Inputs-BE'!$B$141:$B$154,0), MATCH('V. BE CH4,AS'!$C$428,'III. Data Inputs-BE'!$B$141:$D$141,0)))))</f>
        <v>0</v>
      </c>
      <c r="H438" s="148">
        <f t="shared" si="53"/>
        <v>0</v>
      </c>
      <c r="I438" s="148">
        <f>IF('III. Data Inputs-BE'!D39=0,0,H438*'III. Data Inputs-BE'!$C$115*0.68*0.001)*('III. Data Inputs-BE'!G39/'III. Data Inputs-BE'!E39)</f>
        <v>0</v>
      </c>
      <c r="J438" s="148">
        <f t="shared" si="52"/>
        <v>0</v>
      </c>
      <c r="K438" s="142"/>
      <c r="L438" s="142"/>
      <c r="M438" s="143"/>
    </row>
    <row r="439" spans="1:94" s="3" customFormat="1" ht="13" x14ac:dyDescent="0.3">
      <c r="B439" s="292" t="str">
        <f>'III. Data Inputs-BE'!$B$40</f>
        <v>August</v>
      </c>
      <c r="C439" s="140">
        <f>'III. Data Inputs-BE'!$E$40</f>
        <v>31</v>
      </c>
      <c r="D439" s="452">
        <f>MIN(0.95, MAX(0.104,EXP(15175*(('III. Data Inputs-BE'!$C$40+273)-303.16)/(1.987*('III. Data Inputs-BE'!$C$40+273)*303.16))))</f>
        <v>0.104</v>
      </c>
      <c r="E439" s="300">
        <f t="shared" si="51"/>
        <v>0</v>
      </c>
      <c r="F439" s="148">
        <f>(E439*'III. Data Inputs-BE'!K77*'III. Data Inputs-BE'!$K$176*C439*0.8)+G439</f>
        <v>0</v>
      </c>
      <c r="G439" s="450">
        <f>IF('III. Data Inputs-BE'!$H$34=TRUE,0,IF('III. Data Inputs-BE'!$C$138="Yes",0,(F438-H438)*(1-INDEX('III. Data Inputs-BE'!$B$141:$D$154, MATCH('V. BE CH4,AS'!B438, 'III. Data Inputs-BE'!$B$141:$B$154,0), MATCH('V. BE CH4,AS'!$C$428,'III. Data Inputs-BE'!$B$141:$D$141,0)))))</f>
        <v>0</v>
      </c>
      <c r="H439" s="148">
        <f t="shared" si="53"/>
        <v>0</v>
      </c>
      <c r="I439" s="148">
        <f>IF('III. Data Inputs-BE'!D40=0,0,H439*'III. Data Inputs-BE'!$C$115*0.68*0.001)*('III. Data Inputs-BE'!G40/'III. Data Inputs-BE'!E40)</f>
        <v>0</v>
      </c>
      <c r="J439" s="148">
        <f t="shared" si="52"/>
        <v>0</v>
      </c>
      <c r="K439" s="142"/>
      <c r="L439" s="142"/>
      <c r="M439" s="143"/>
    </row>
    <row r="440" spans="1:94" s="3" customFormat="1" ht="13" x14ac:dyDescent="0.3">
      <c r="B440" s="292" t="str">
        <f>'III. Data Inputs-BE'!$B$41</f>
        <v>September</v>
      </c>
      <c r="C440" s="140">
        <f>'III. Data Inputs-BE'!$E$41</f>
        <v>30</v>
      </c>
      <c r="D440" s="452">
        <f>MIN(0.95, MAX(0.104,EXP(15175*(('III. Data Inputs-BE'!$C$41+273)-303.16)/(1.987*('III. Data Inputs-BE'!$C$41+273)*303.16))))</f>
        <v>0.104</v>
      </c>
      <c r="E440" s="300">
        <f t="shared" si="51"/>
        <v>0</v>
      </c>
      <c r="F440" s="148">
        <f>(E440*'III. Data Inputs-BE'!K78*'III. Data Inputs-BE'!$K$176*C440*0.8)+G440</f>
        <v>0</v>
      </c>
      <c r="G440" s="450">
        <f>IF('III. Data Inputs-BE'!$H$34=TRUE,0,IF('III. Data Inputs-BE'!$C$138="Yes",0,(F439-H439)*(1-INDEX('III. Data Inputs-BE'!$B$141:$D$154, MATCH('V. BE CH4,AS'!B439, 'III. Data Inputs-BE'!$B$141:$B$154,0), MATCH('V. BE CH4,AS'!$C$428,'III. Data Inputs-BE'!$B$141:$D$141,0)))))</f>
        <v>0</v>
      </c>
      <c r="H440" s="148">
        <f t="shared" si="53"/>
        <v>0</v>
      </c>
      <c r="I440" s="148">
        <f>IF('III. Data Inputs-BE'!D41=0,0,H440*'III. Data Inputs-BE'!$C$115*0.68*0.001)*('III. Data Inputs-BE'!G41/'III. Data Inputs-BE'!E41)</f>
        <v>0</v>
      </c>
      <c r="J440" s="148">
        <f t="shared" si="52"/>
        <v>0</v>
      </c>
      <c r="K440" s="142"/>
      <c r="L440" s="142"/>
      <c r="M440" s="143"/>
    </row>
    <row r="441" spans="1:94" s="3" customFormat="1" ht="13" x14ac:dyDescent="0.3">
      <c r="B441" s="292" t="str">
        <f>'III. Data Inputs-BE'!$B$42</f>
        <v>October</v>
      </c>
      <c r="C441" s="140">
        <f>'III. Data Inputs-BE'!$E$42</f>
        <v>31</v>
      </c>
      <c r="D441" s="452">
        <f>MIN(0.95, MAX(0.104,EXP(15175*(('III. Data Inputs-BE'!$C$42+273)-303.16)/(1.987*('III. Data Inputs-BE'!$C$42+273)*303.16))))</f>
        <v>0.104</v>
      </c>
      <c r="E441" s="300">
        <f t="shared" si="51"/>
        <v>0</v>
      </c>
      <c r="F441" s="148">
        <f>(E441*'III. Data Inputs-BE'!K79*'III. Data Inputs-BE'!$K$176*C441*0.8)+G441</f>
        <v>0</v>
      </c>
      <c r="G441" s="450">
        <f>IF('III. Data Inputs-BE'!$H$34=TRUE,0,IF('III. Data Inputs-BE'!$C$138="Yes",0,(F440-H440)*(1-INDEX('III. Data Inputs-BE'!$B$141:$D$154, MATCH('V. BE CH4,AS'!B440, 'III. Data Inputs-BE'!$B$141:$B$154,0), MATCH('V. BE CH4,AS'!$C$428,'III. Data Inputs-BE'!$B$141:$D$141,0)))))</f>
        <v>0</v>
      </c>
      <c r="H441" s="148">
        <f t="shared" si="53"/>
        <v>0</v>
      </c>
      <c r="I441" s="148">
        <f>IF('III. Data Inputs-BE'!D42=0,0,H441*'III. Data Inputs-BE'!$C$115*0.68*0.001)*('III. Data Inputs-BE'!G42/'III. Data Inputs-BE'!E42)</f>
        <v>0</v>
      </c>
      <c r="J441" s="148">
        <f t="shared" si="52"/>
        <v>0</v>
      </c>
      <c r="K441" s="142"/>
      <c r="L441" s="142"/>
      <c r="M441" s="143"/>
    </row>
    <row r="442" spans="1:94" s="3" customFormat="1" ht="13" x14ac:dyDescent="0.3">
      <c r="B442" s="292" t="str">
        <f>'III. Data Inputs-BE'!$B$43</f>
        <v>November</v>
      </c>
      <c r="C442" s="140">
        <f>'III. Data Inputs-BE'!$E$43</f>
        <v>30</v>
      </c>
      <c r="D442" s="452">
        <f>MIN(0.95, MAX(0.104,EXP(15175*(('III. Data Inputs-BE'!$C$43+273)-303.16)/(1.987*('III. Data Inputs-BE'!$C$43+273)*303.16))))</f>
        <v>0.104</v>
      </c>
      <c r="E442" s="300">
        <f t="shared" si="51"/>
        <v>0</v>
      </c>
      <c r="F442" s="148">
        <f>(E442*'III. Data Inputs-BE'!K80*'III. Data Inputs-BE'!$K$176*C442*0.8)+G442</f>
        <v>0</v>
      </c>
      <c r="G442" s="450">
        <f>IF('III. Data Inputs-BE'!$H$34=TRUE,0,IF('III. Data Inputs-BE'!$C$138="Yes",0,(F441-H441)*(1-INDEX('III. Data Inputs-BE'!$B$141:$D$154, MATCH('V. BE CH4,AS'!B441, 'III. Data Inputs-BE'!$B$141:$B$154,0), MATCH('V. BE CH4,AS'!$C$428,'III. Data Inputs-BE'!$B$141:$D$141,0)))))</f>
        <v>0</v>
      </c>
      <c r="H442" s="148">
        <f t="shared" si="53"/>
        <v>0</v>
      </c>
      <c r="I442" s="148">
        <f>IF('III. Data Inputs-BE'!D43=0,0,H442*'III. Data Inputs-BE'!$C$115*0.68*0.001)*('III. Data Inputs-BE'!G43/'III. Data Inputs-BE'!E43)</f>
        <v>0</v>
      </c>
      <c r="J442" s="148">
        <f t="shared" si="52"/>
        <v>0</v>
      </c>
      <c r="K442" s="142"/>
      <c r="L442" s="142"/>
      <c r="M442" s="143"/>
    </row>
    <row r="443" spans="1:94" s="3" customFormat="1" ht="13" x14ac:dyDescent="0.3">
      <c r="B443" s="528" t="str">
        <f>'III. Data Inputs-BE'!$B$44</f>
        <v>December</v>
      </c>
      <c r="C443" s="464">
        <f>'III. Data Inputs-BE'!$E$44</f>
        <v>31</v>
      </c>
      <c r="D443" s="452">
        <f>MIN(0.95, MAX(0.104,EXP(15175*(('III. Data Inputs-BE'!$C$44+273)-303.16)/(1.987*('III. Data Inputs-BE'!$C$44+273)*303.16))))</f>
        <v>0.104</v>
      </c>
      <c r="E443" s="466">
        <f t="shared" si="51"/>
        <v>0</v>
      </c>
      <c r="F443" s="465">
        <f>(E443*'III. Data Inputs-BE'!K81*'III. Data Inputs-BE'!$K$176*C443*0.8)+G443</f>
        <v>0</v>
      </c>
      <c r="G443" s="467">
        <f>IF('III. Data Inputs-BE'!$H$34=TRUE,0,IF('III. Data Inputs-BE'!$C$138="Yes",0,(F442-H442)*(1-INDEX('III. Data Inputs-BE'!$B$141:$D$154, MATCH('V. BE CH4,AS'!B442, 'III. Data Inputs-BE'!$B$141:$B$154,0), MATCH('V. BE CH4,AS'!$C$428,'III. Data Inputs-BE'!$B$141:$D$141,0)))))</f>
        <v>0</v>
      </c>
      <c r="H443" s="148">
        <f t="shared" si="53"/>
        <v>0</v>
      </c>
      <c r="I443" s="148">
        <f>IF('III. Data Inputs-BE'!D44=0,0,H443*'III. Data Inputs-BE'!$C$115*0.68*0.001)*('III. Data Inputs-BE'!G44/'III. Data Inputs-BE'!E44)</f>
        <v>0</v>
      </c>
      <c r="J443" s="148">
        <f t="shared" si="52"/>
        <v>0</v>
      </c>
      <c r="K443" s="142"/>
      <c r="L443" s="142"/>
      <c r="M443" s="143"/>
    </row>
    <row r="444" spans="1:94" s="3" customFormat="1" ht="13" x14ac:dyDescent="0.3">
      <c r="B444" s="525" t="s">
        <v>392</v>
      </c>
      <c r="C444" s="468"/>
      <c r="D444" s="456"/>
      <c r="E444" s="456"/>
      <c r="F444" s="469"/>
      <c r="G444" s="470"/>
      <c r="H444" s="471">
        <f>SUM(H432:H443)</f>
        <v>0</v>
      </c>
      <c r="I444" s="462">
        <f>SUM(I432:I443)</f>
        <v>0</v>
      </c>
      <c r="J444" s="462">
        <f>SUM(J432:J443)</f>
        <v>0</v>
      </c>
      <c r="K444" s="142"/>
      <c r="L444" s="142"/>
      <c r="M444" s="143"/>
    </row>
    <row r="445" spans="1:94" s="3" customFormat="1" ht="13" x14ac:dyDescent="0.3">
      <c r="B445" s="517"/>
      <c r="D445" s="57"/>
      <c r="E445" s="57"/>
      <c r="F445" s="58"/>
      <c r="G445" s="58"/>
      <c r="H445" s="58"/>
      <c r="I445" s="58"/>
      <c r="J445" s="58"/>
      <c r="K445" s="142"/>
      <c r="L445" s="142"/>
      <c r="M445" s="143"/>
    </row>
    <row r="446" spans="1:94" s="152" customFormat="1" ht="13" x14ac:dyDescent="0.3">
      <c r="A446" s="3"/>
      <c r="B446" s="526" t="s">
        <v>393</v>
      </c>
      <c r="C446" s="428"/>
      <c r="D446" s="460"/>
      <c r="E446" s="460"/>
      <c r="F446" s="461"/>
      <c r="G446" s="472">
        <f>F443-H443</f>
        <v>0</v>
      </c>
      <c r="H446" s="58"/>
      <c r="I446" s="58"/>
      <c r="J446" s="58"/>
      <c r="K446" s="142"/>
      <c r="L446" s="142"/>
      <c r="M446" s="14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c r="AV446" s="3"/>
      <c r="AW446" s="3"/>
      <c r="AX446" s="3"/>
      <c r="AY446" s="3"/>
      <c r="AZ446" s="3"/>
      <c r="BA446" s="3"/>
      <c r="BB446" s="3"/>
      <c r="BC446" s="3"/>
      <c r="BD446" s="3"/>
      <c r="BE446" s="3"/>
      <c r="BF446" s="3"/>
      <c r="BG446" s="3"/>
      <c r="BH446" s="3"/>
      <c r="BI446" s="3"/>
      <c r="BJ446" s="3"/>
      <c r="BK446" s="3"/>
      <c r="BL446" s="3"/>
      <c r="BM446" s="3"/>
      <c r="BN446" s="3"/>
      <c r="BO446" s="3"/>
      <c r="BP446" s="3"/>
      <c r="BQ446" s="3"/>
      <c r="BR446" s="3"/>
      <c r="BS446" s="3"/>
      <c r="BT446" s="3"/>
      <c r="BU446" s="3"/>
      <c r="BV446" s="3"/>
      <c r="BW446" s="3"/>
      <c r="BX446" s="3"/>
      <c r="BY446" s="3"/>
      <c r="BZ446" s="3"/>
      <c r="CA446" s="3"/>
      <c r="CB446" s="3"/>
      <c r="CC446" s="3"/>
      <c r="CD446" s="3"/>
      <c r="CE446" s="3"/>
      <c r="CF446" s="3"/>
      <c r="CG446" s="3"/>
      <c r="CH446" s="3"/>
      <c r="CI446" s="3"/>
      <c r="CJ446" s="3"/>
      <c r="CK446" s="3"/>
      <c r="CL446" s="3"/>
      <c r="CM446" s="3"/>
      <c r="CN446" s="3"/>
      <c r="CO446" s="3"/>
      <c r="CP446" s="3"/>
    </row>
    <row r="447" spans="1:94" s="3" customFormat="1" ht="62.5" x14ac:dyDescent="0.3">
      <c r="B447" s="47"/>
      <c r="C447" s="13"/>
      <c r="D447" s="41"/>
      <c r="E447" s="41"/>
      <c r="F447" s="41"/>
      <c r="G447" s="459" t="s">
        <v>394</v>
      </c>
      <c r="H447" s="58"/>
      <c r="I447" s="58"/>
      <c r="J447" s="58"/>
      <c r="K447" s="142"/>
      <c r="L447" s="142"/>
      <c r="M447" s="143"/>
    </row>
    <row r="448" spans="1:94" s="3" customFormat="1" ht="13" x14ac:dyDescent="0.3">
      <c r="B448" s="517"/>
      <c r="D448" s="57"/>
      <c r="E448" s="57"/>
      <c r="F448" s="58"/>
      <c r="G448" s="58"/>
      <c r="H448" s="58"/>
      <c r="I448" s="58"/>
      <c r="J448" s="58"/>
      <c r="K448" s="142"/>
      <c r="L448" s="142"/>
      <c r="M448" s="143"/>
    </row>
    <row r="449" spans="2:13" s="3" customFormat="1" ht="13" x14ac:dyDescent="0.3">
      <c r="B449" s="517"/>
      <c r="D449" s="57"/>
      <c r="E449" s="57"/>
      <c r="F449" s="58"/>
      <c r="G449" s="58"/>
      <c r="H449" s="58"/>
      <c r="I449" s="58"/>
      <c r="J449" s="58"/>
      <c r="K449" s="142"/>
      <c r="L449" s="142"/>
      <c r="M449" s="143"/>
    </row>
    <row r="450" spans="2:13" s="3" customFormat="1" ht="13" x14ac:dyDescent="0.3">
      <c r="B450" s="517"/>
      <c r="D450" s="57"/>
      <c r="E450" s="549" t="s">
        <v>229</v>
      </c>
      <c r="F450" s="554"/>
      <c r="G450" s="554"/>
      <c r="H450" s="554"/>
      <c r="I450" s="554"/>
      <c r="J450" s="554"/>
      <c r="K450" s="142"/>
      <c r="L450" s="142"/>
      <c r="M450" s="143"/>
    </row>
    <row r="451" spans="2:13" s="3" customFormat="1" ht="13" x14ac:dyDescent="0.3">
      <c r="B451" s="517"/>
      <c r="D451" s="57"/>
      <c r="E451" s="554"/>
      <c r="F451" s="554"/>
      <c r="G451" s="554"/>
      <c r="H451" s="554"/>
      <c r="I451" s="554"/>
      <c r="J451" s="554"/>
      <c r="K451" s="142"/>
      <c r="L451" s="142"/>
      <c r="M451" s="143"/>
    </row>
    <row r="452" spans="2:13" s="3" customFormat="1" ht="39" x14ac:dyDescent="0.3">
      <c r="B452" s="395" t="str">
        <f>'III. Data Inputs-BE'!B60</f>
        <v>Population 10</v>
      </c>
      <c r="C452" s="453" t="str">
        <f>'III. Data Inputs-BE'!B121</f>
        <v>Liquid/Slurry w/natural crust cover</v>
      </c>
      <c r="D452" s="138"/>
      <c r="E452" s="554"/>
      <c r="F452" s="554"/>
      <c r="G452" s="554"/>
      <c r="H452" s="554"/>
      <c r="I452" s="554"/>
      <c r="J452" s="554"/>
      <c r="K452" s="142"/>
      <c r="L452" s="142"/>
      <c r="M452" s="143"/>
    </row>
    <row r="453" spans="2:13" s="3" customFormat="1" ht="15" x14ac:dyDescent="0.3">
      <c r="B453" s="524" t="s">
        <v>383</v>
      </c>
      <c r="C453" s="454">
        <f>'III. Data Inputs-BE'!D102</f>
        <v>0</v>
      </c>
      <c r="D453" s="41"/>
      <c r="E453" s="58"/>
      <c r="F453" s="57"/>
      <c r="G453" s="57"/>
      <c r="H453" s="57"/>
      <c r="I453" s="57"/>
      <c r="J453" s="57"/>
      <c r="K453" s="142"/>
      <c r="L453" s="142"/>
      <c r="M453" s="143"/>
    </row>
    <row r="454" spans="2:13" s="3" customFormat="1" ht="13" x14ac:dyDescent="0.3">
      <c r="B454" s="524"/>
      <c r="C454" s="128"/>
      <c r="D454" s="41"/>
      <c r="E454" s="58"/>
      <c r="F454" s="57"/>
      <c r="G454" s="57"/>
      <c r="H454" s="57"/>
      <c r="I454" s="57"/>
      <c r="J454" s="57"/>
      <c r="K454" s="142"/>
      <c r="L454" s="142"/>
      <c r="M454" s="143"/>
    </row>
    <row r="455" spans="2:13" s="3" customFormat="1" ht="29" x14ac:dyDescent="0.4">
      <c r="B455" s="369" t="s">
        <v>195</v>
      </c>
      <c r="C455" s="128" t="s">
        <v>384</v>
      </c>
      <c r="D455" s="447" t="s">
        <v>385</v>
      </c>
      <c r="E455" s="448" t="s">
        <v>386</v>
      </c>
      <c r="F455" s="435" t="s">
        <v>387</v>
      </c>
      <c r="G455" s="448" t="s">
        <v>388</v>
      </c>
      <c r="H455" s="435" t="s">
        <v>389</v>
      </c>
      <c r="I455" s="435" t="s">
        <v>390</v>
      </c>
      <c r="J455" s="435" t="s">
        <v>391</v>
      </c>
      <c r="K455" s="142"/>
      <c r="L455" s="142"/>
      <c r="M455" s="143"/>
    </row>
    <row r="456" spans="2:13" s="3" customFormat="1" ht="13" x14ac:dyDescent="0.3">
      <c r="B456" s="292" t="str">
        <f>'III. Data Inputs-BE'!$B$33</f>
        <v>January</v>
      </c>
      <c r="C456" s="140">
        <f>'III. Data Inputs-BE'!$E$33</f>
        <v>31</v>
      </c>
      <c r="D456" s="452">
        <f>MIN(0.95, MAX(0.104,EXP(15175*(('III. Data Inputs-BE'!$C$33+273)-303.16)/(1.987*('III. Data Inputs-BE'!$C$33+273)*303.16))))</f>
        <v>0.104</v>
      </c>
      <c r="E456" s="300">
        <f t="shared" ref="E456:E467" si="54">$C$453</f>
        <v>0</v>
      </c>
      <c r="F456" s="148">
        <f>(E456*'III. Data Inputs-BE'!L70*'III. Data Inputs-BE'!$L$175*C456*0.8)+G456</f>
        <v>0</v>
      </c>
      <c r="G456" s="449">
        <v>0</v>
      </c>
      <c r="H456" s="148">
        <f>F456*D456</f>
        <v>0</v>
      </c>
      <c r="I456" s="148">
        <f>IF('III. Data Inputs-BE'!D33=0,0,H456*'III. Data Inputs-BE'!$C$116*0.68*0.001)*('III. Data Inputs-BE'!G33/'III. Data Inputs-BE'!E33)</f>
        <v>0</v>
      </c>
      <c r="J456" s="148">
        <f t="shared" ref="J456:J467" si="55">I456*gwp_ch4</f>
        <v>0</v>
      </c>
      <c r="K456" s="142"/>
      <c r="L456" s="142"/>
      <c r="M456" s="143"/>
    </row>
    <row r="457" spans="2:13" s="3" customFormat="1" ht="13" x14ac:dyDescent="0.3">
      <c r="B457" s="292" t="str">
        <f>'III. Data Inputs-BE'!$B$34</f>
        <v>February</v>
      </c>
      <c r="C457" s="140">
        <f>'III. Data Inputs-BE'!$E$34</f>
        <v>28</v>
      </c>
      <c r="D457" s="452">
        <f>MIN(0.95, MAX(0.104,EXP(15175*(('III. Data Inputs-BE'!$C$34+273)-303.16)/(1.987*('III. Data Inputs-BE'!$C$34+273)*303.16))))</f>
        <v>0.104</v>
      </c>
      <c r="E457" s="300">
        <f t="shared" si="54"/>
        <v>0</v>
      </c>
      <c r="F457" s="148">
        <f>(E457*'III. Data Inputs-BE'!L71*'III. Data Inputs-BE'!$L$175*C457*0.8)+G457</f>
        <v>0</v>
      </c>
      <c r="G457" s="450">
        <f>IF('III. Data Inputs-BE'!$H$34=TRUE,0,IF('III. Data Inputs-BE'!$C$138="Yes",0,(F456-H456)*(1-INDEX('III. Data Inputs-BE'!$B$141:$D$154, MATCH('V. BE CH4,AS'!B456, 'III. Data Inputs-BE'!$B$141:$B$154,0), MATCH('V. BE CH4,AS'!$C$452,'III. Data Inputs-BE'!$B$141:$D$141,0)))))</f>
        <v>0</v>
      </c>
      <c r="H457" s="148">
        <f t="shared" ref="H457:H467" si="56">F457*D457</f>
        <v>0</v>
      </c>
      <c r="I457" s="148">
        <f>IF('III. Data Inputs-BE'!D34=0,0,H457*'III. Data Inputs-BE'!$C$116*0.68*0.001)*('III. Data Inputs-BE'!G34/'III. Data Inputs-BE'!E34)</f>
        <v>0</v>
      </c>
      <c r="J457" s="148">
        <f t="shared" si="55"/>
        <v>0</v>
      </c>
      <c r="K457" s="142"/>
      <c r="L457" s="142"/>
      <c r="M457" s="143"/>
    </row>
    <row r="458" spans="2:13" s="3" customFormat="1" ht="13" x14ac:dyDescent="0.3">
      <c r="B458" s="292" t="str">
        <f>'III. Data Inputs-BE'!$B$35</f>
        <v>March</v>
      </c>
      <c r="C458" s="140">
        <f>'III. Data Inputs-BE'!$E$35</f>
        <v>31</v>
      </c>
      <c r="D458" s="452">
        <f>MIN(0.95, MAX(0.104,EXP(15175*(('III. Data Inputs-BE'!$C$35+273)-303.16)/(1.987*('III. Data Inputs-BE'!$C$35+273)*303.16))))</f>
        <v>0.104</v>
      </c>
      <c r="E458" s="300">
        <f t="shared" si="54"/>
        <v>0</v>
      </c>
      <c r="F458" s="148">
        <f>(E458*'III. Data Inputs-BE'!L72*'III. Data Inputs-BE'!$L$175*C458*0.8)+G458</f>
        <v>0</v>
      </c>
      <c r="G458" s="450">
        <f>IF('III. Data Inputs-BE'!$H$34=TRUE,0,IF('III. Data Inputs-BE'!$C$138="Yes",0,(F457-H457)*(1-INDEX('III. Data Inputs-BE'!$B$141:$D$154, MATCH('V. BE CH4,AS'!B457, 'III. Data Inputs-BE'!$B$141:$B$154,0), MATCH('V. BE CH4,AS'!$C$452,'III. Data Inputs-BE'!$B$141:$D$141,0)))))</f>
        <v>0</v>
      </c>
      <c r="H458" s="148">
        <f t="shared" si="56"/>
        <v>0</v>
      </c>
      <c r="I458" s="148">
        <f>IF('III. Data Inputs-BE'!D35=0,0,H458*'III. Data Inputs-BE'!$C$116*0.68*0.001)*('III. Data Inputs-BE'!G35/'III. Data Inputs-BE'!E35)</f>
        <v>0</v>
      </c>
      <c r="J458" s="148">
        <f t="shared" si="55"/>
        <v>0</v>
      </c>
      <c r="K458" s="142"/>
      <c r="L458" s="142"/>
      <c r="M458" s="143"/>
    </row>
    <row r="459" spans="2:13" s="3" customFormat="1" ht="13" x14ac:dyDescent="0.3">
      <c r="B459" s="292" t="str">
        <f>'III. Data Inputs-BE'!$B$36</f>
        <v>April</v>
      </c>
      <c r="C459" s="140">
        <f>'III. Data Inputs-BE'!$E$36</f>
        <v>30</v>
      </c>
      <c r="D459" s="452">
        <f>MIN(0.95, MAX(0.104,EXP(15175*(('III. Data Inputs-BE'!$C$36+273)-303.16)/(1.987*('III. Data Inputs-BE'!$C$36+273)*303.16))))</f>
        <v>0.104</v>
      </c>
      <c r="E459" s="300">
        <f t="shared" si="54"/>
        <v>0</v>
      </c>
      <c r="F459" s="148">
        <f>(E459*'III. Data Inputs-BE'!L73*'III. Data Inputs-BE'!$L$175*C459*0.8)+G459</f>
        <v>0</v>
      </c>
      <c r="G459" s="450">
        <f>IF('III. Data Inputs-BE'!$H$34=TRUE,0,IF('III. Data Inputs-BE'!$C$138="Yes",0,(F458-H458)*(1-INDEX('III. Data Inputs-BE'!$B$141:$D$154, MATCH('V. BE CH4,AS'!B458, 'III. Data Inputs-BE'!$B$141:$B$154,0), MATCH('V. BE CH4,AS'!$C$452,'III. Data Inputs-BE'!$B$141:$D$141,0)))))</f>
        <v>0</v>
      </c>
      <c r="H459" s="148">
        <f t="shared" si="56"/>
        <v>0</v>
      </c>
      <c r="I459" s="148">
        <f>IF('III. Data Inputs-BE'!D36=0,0,H459*'III. Data Inputs-BE'!$C$116*0.68*0.001)*('III. Data Inputs-BE'!G36/'III. Data Inputs-BE'!E36)</f>
        <v>0</v>
      </c>
      <c r="J459" s="148">
        <f t="shared" si="55"/>
        <v>0</v>
      </c>
      <c r="K459" s="142"/>
      <c r="L459" s="142"/>
      <c r="M459" s="143"/>
    </row>
    <row r="460" spans="2:13" s="3" customFormat="1" ht="13" x14ac:dyDescent="0.3">
      <c r="B460" s="292" t="str">
        <f>'III. Data Inputs-BE'!$B$37</f>
        <v>May</v>
      </c>
      <c r="C460" s="140">
        <f>'III. Data Inputs-BE'!$E$37</f>
        <v>31</v>
      </c>
      <c r="D460" s="452">
        <f>MIN(0.95, MAX(0.104,EXP(15175*(('III. Data Inputs-BE'!$C$37+273)-303.16)/(1.987*('III. Data Inputs-BE'!$C$37+273)*303.16))))</f>
        <v>0.104</v>
      </c>
      <c r="E460" s="300">
        <f t="shared" si="54"/>
        <v>0</v>
      </c>
      <c r="F460" s="148">
        <f>(E460*'III. Data Inputs-BE'!L74*'III. Data Inputs-BE'!$L$175*C460*0.8)+G460</f>
        <v>0</v>
      </c>
      <c r="G460" s="450">
        <f>IF('III. Data Inputs-BE'!$H$34=TRUE,0,IF('III. Data Inputs-BE'!$C$138="Yes",0,(F459-H459)*(1-INDEX('III. Data Inputs-BE'!$B$141:$D$154, MATCH('V. BE CH4,AS'!B459, 'III. Data Inputs-BE'!$B$141:$B$154,0), MATCH('V. BE CH4,AS'!$C$452,'III. Data Inputs-BE'!$B$141:$D$141,0)))))</f>
        <v>0</v>
      </c>
      <c r="H460" s="148">
        <f t="shared" si="56"/>
        <v>0</v>
      </c>
      <c r="I460" s="148">
        <f>IF('III. Data Inputs-BE'!D37=0,0,H460*'III. Data Inputs-BE'!$C$116*0.68*0.001)*('III. Data Inputs-BE'!G37/'III. Data Inputs-BE'!E37)</f>
        <v>0</v>
      </c>
      <c r="J460" s="148">
        <f t="shared" si="55"/>
        <v>0</v>
      </c>
      <c r="K460" s="142"/>
      <c r="L460" s="142"/>
      <c r="M460" s="143"/>
    </row>
    <row r="461" spans="2:13" s="3" customFormat="1" ht="13" x14ac:dyDescent="0.3">
      <c r="B461" s="292" t="str">
        <f>'III. Data Inputs-BE'!$B$38</f>
        <v>June</v>
      </c>
      <c r="C461" s="140">
        <f>'III. Data Inputs-BE'!$E$38</f>
        <v>30</v>
      </c>
      <c r="D461" s="452">
        <f>MIN(0.95, MAX(0.104,EXP(15175*(('III. Data Inputs-BE'!$C$38+273)-303.16)/(1.987*('III. Data Inputs-BE'!$C$38+273)*303.16))))</f>
        <v>0.104</v>
      </c>
      <c r="E461" s="300">
        <f t="shared" si="54"/>
        <v>0</v>
      </c>
      <c r="F461" s="148">
        <f>(E461*'III. Data Inputs-BE'!L75*'III. Data Inputs-BE'!$L$175*C461*0.8)+G461</f>
        <v>0</v>
      </c>
      <c r="G461" s="450">
        <f>IF('III. Data Inputs-BE'!$H$34=TRUE,0,IF('III. Data Inputs-BE'!$C$138="Yes",0,(F460-H460)*(1-INDEX('III. Data Inputs-BE'!$B$141:$D$154, MATCH('V. BE CH4,AS'!B460, 'III. Data Inputs-BE'!$B$141:$B$154,0), MATCH('V. BE CH4,AS'!$C$452,'III. Data Inputs-BE'!$B$141:$D$141,0)))))</f>
        <v>0</v>
      </c>
      <c r="H461" s="148">
        <f t="shared" si="56"/>
        <v>0</v>
      </c>
      <c r="I461" s="148">
        <f>IF('III. Data Inputs-BE'!D38=0,0,H461*'III. Data Inputs-BE'!$C$116*0.68*0.001)*('III. Data Inputs-BE'!G38/'III. Data Inputs-BE'!E38)</f>
        <v>0</v>
      </c>
      <c r="J461" s="148">
        <f t="shared" si="55"/>
        <v>0</v>
      </c>
      <c r="K461" s="142"/>
      <c r="L461" s="142"/>
      <c r="M461" s="143"/>
    </row>
    <row r="462" spans="2:13" s="3" customFormat="1" ht="13" x14ac:dyDescent="0.3">
      <c r="B462" s="292" t="str">
        <f>'III. Data Inputs-BE'!$B$39</f>
        <v>July</v>
      </c>
      <c r="C462" s="140">
        <f>'III. Data Inputs-BE'!$E$39</f>
        <v>31</v>
      </c>
      <c r="D462" s="452">
        <f>MIN(0.95, MAX(0.104,EXP(15175*(('III. Data Inputs-BE'!$C$39+273)-303.16)/(1.987*('III. Data Inputs-BE'!$C$39+273)*303.16))))</f>
        <v>0.104</v>
      </c>
      <c r="E462" s="300">
        <f t="shared" si="54"/>
        <v>0</v>
      </c>
      <c r="F462" s="148">
        <f>(E462*'III. Data Inputs-BE'!L76*'III. Data Inputs-BE'!$L$175*C462*0.8)+G462</f>
        <v>0</v>
      </c>
      <c r="G462" s="450">
        <f>IF('III. Data Inputs-BE'!$H$34=TRUE,0,IF('III. Data Inputs-BE'!$C$138="Yes",0,(F461-H461)*(1-INDEX('III. Data Inputs-BE'!$B$141:$D$154, MATCH('V. BE CH4,AS'!B461, 'III. Data Inputs-BE'!$B$141:$B$154,0), MATCH('V. BE CH4,AS'!$C$452,'III. Data Inputs-BE'!$B$141:$D$141,0)))))</f>
        <v>0</v>
      </c>
      <c r="H462" s="148">
        <f t="shared" si="56"/>
        <v>0</v>
      </c>
      <c r="I462" s="148">
        <f>IF('III. Data Inputs-BE'!D39=0,0,H462*'III. Data Inputs-BE'!$C$116*0.68*0.001)*('III. Data Inputs-BE'!G39/'III. Data Inputs-BE'!E39)</f>
        <v>0</v>
      </c>
      <c r="J462" s="148">
        <f t="shared" si="55"/>
        <v>0</v>
      </c>
      <c r="K462" s="142"/>
      <c r="L462" s="142"/>
      <c r="M462" s="143"/>
    </row>
    <row r="463" spans="2:13" s="3" customFormat="1" ht="13" x14ac:dyDescent="0.3">
      <c r="B463" s="292" t="str">
        <f>'III. Data Inputs-BE'!$B$40</f>
        <v>August</v>
      </c>
      <c r="C463" s="140">
        <f>'III. Data Inputs-BE'!$E$40</f>
        <v>31</v>
      </c>
      <c r="D463" s="452">
        <f>MIN(0.95, MAX(0.104,EXP(15175*(('III. Data Inputs-BE'!$C$40+273)-303.16)/(1.987*('III. Data Inputs-BE'!$C$40+273)*303.16))))</f>
        <v>0.104</v>
      </c>
      <c r="E463" s="300">
        <f t="shared" si="54"/>
        <v>0</v>
      </c>
      <c r="F463" s="148">
        <f>(E463*'III. Data Inputs-BE'!L77*'III. Data Inputs-BE'!$L$175*C463*0.8)+G463</f>
        <v>0</v>
      </c>
      <c r="G463" s="450">
        <f>IF('III. Data Inputs-BE'!$H$34=TRUE,0,IF('III. Data Inputs-BE'!$C$138="Yes",0,(F462-H462)*(1-INDEX('III. Data Inputs-BE'!$B$141:$D$154, MATCH('V. BE CH4,AS'!B462, 'III. Data Inputs-BE'!$B$141:$B$154,0), MATCH('V. BE CH4,AS'!$C$452,'III. Data Inputs-BE'!$B$141:$D$141,0)))))</f>
        <v>0</v>
      </c>
      <c r="H463" s="148">
        <f t="shared" si="56"/>
        <v>0</v>
      </c>
      <c r="I463" s="148">
        <f>IF('III. Data Inputs-BE'!D40=0,0,H463*'III. Data Inputs-BE'!$C$116*0.68*0.001)*('III. Data Inputs-BE'!G40/'III. Data Inputs-BE'!E40)</f>
        <v>0</v>
      </c>
      <c r="J463" s="148">
        <f t="shared" si="55"/>
        <v>0</v>
      </c>
      <c r="K463" s="142"/>
      <c r="L463" s="142"/>
      <c r="M463" s="143"/>
    </row>
    <row r="464" spans="2:13" s="3" customFormat="1" ht="13" x14ac:dyDescent="0.3">
      <c r="B464" s="292" t="str">
        <f>'III. Data Inputs-BE'!$B$41</f>
        <v>September</v>
      </c>
      <c r="C464" s="140">
        <f>'III. Data Inputs-BE'!$E$41</f>
        <v>30</v>
      </c>
      <c r="D464" s="452">
        <f>MIN(0.95, MAX(0.104,EXP(15175*(('III. Data Inputs-BE'!$C$41+273)-303.16)/(1.987*('III. Data Inputs-BE'!$C$41+273)*303.16))))</f>
        <v>0.104</v>
      </c>
      <c r="E464" s="300">
        <f t="shared" si="54"/>
        <v>0</v>
      </c>
      <c r="F464" s="148">
        <f>(E464*'III. Data Inputs-BE'!L78*'III. Data Inputs-BE'!$L$175*C464*0.8)+G464</f>
        <v>0</v>
      </c>
      <c r="G464" s="450">
        <f>IF('III. Data Inputs-BE'!$H$34=TRUE,0,IF('III. Data Inputs-BE'!$C$138="Yes",0,(F463-H463)*(1-INDEX('III. Data Inputs-BE'!$B$141:$D$154, MATCH('V. BE CH4,AS'!B463, 'III. Data Inputs-BE'!$B$141:$B$154,0), MATCH('V. BE CH4,AS'!$C$452,'III. Data Inputs-BE'!$B$141:$D$141,0)))))</f>
        <v>0</v>
      </c>
      <c r="H464" s="148">
        <f t="shared" si="56"/>
        <v>0</v>
      </c>
      <c r="I464" s="148">
        <f>IF('III. Data Inputs-BE'!D41=0,0,H464*'III. Data Inputs-BE'!$C$116*0.68*0.001)*('III. Data Inputs-BE'!G41/'III. Data Inputs-BE'!E41)</f>
        <v>0</v>
      </c>
      <c r="J464" s="148">
        <f t="shared" si="55"/>
        <v>0</v>
      </c>
      <c r="K464" s="142"/>
      <c r="L464" s="142"/>
      <c r="M464" s="143"/>
    </row>
    <row r="465" spans="1:94" s="3" customFormat="1" ht="13" x14ac:dyDescent="0.3">
      <c r="B465" s="292" t="str">
        <f>'III. Data Inputs-BE'!$B$42</f>
        <v>October</v>
      </c>
      <c r="C465" s="140">
        <f>'III. Data Inputs-BE'!$E$42</f>
        <v>31</v>
      </c>
      <c r="D465" s="452">
        <f>MIN(0.95, MAX(0.104,EXP(15175*(('III. Data Inputs-BE'!$C$42+273)-303.16)/(1.987*('III. Data Inputs-BE'!$C$42+273)*303.16))))</f>
        <v>0.104</v>
      </c>
      <c r="E465" s="300">
        <f t="shared" si="54"/>
        <v>0</v>
      </c>
      <c r="F465" s="148">
        <f>(E465*'III. Data Inputs-BE'!L79*'III. Data Inputs-BE'!$L$175*C465*0.8)+G465</f>
        <v>0</v>
      </c>
      <c r="G465" s="450">
        <f>IF('III. Data Inputs-BE'!$H$34=TRUE,0,IF('III. Data Inputs-BE'!$C$138="Yes",0,(F464-H464)*(1-INDEX('III. Data Inputs-BE'!$B$141:$D$154, MATCH('V. BE CH4,AS'!B464, 'III. Data Inputs-BE'!$B$141:$B$154,0), MATCH('V. BE CH4,AS'!$C$452,'III. Data Inputs-BE'!$B$141:$D$141,0)))))</f>
        <v>0</v>
      </c>
      <c r="H465" s="148">
        <f t="shared" si="56"/>
        <v>0</v>
      </c>
      <c r="I465" s="148">
        <f>IF('III. Data Inputs-BE'!D42=0,0,H465*'III. Data Inputs-BE'!$C$116*0.68*0.001)*('III. Data Inputs-BE'!G42/'III. Data Inputs-BE'!E42)</f>
        <v>0</v>
      </c>
      <c r="J465" s="148">
        <f t="shared" si="55"/>
        <v>0</v>
      </c>
      <c r="K465" s="142"/>
      <c r="L465" s="142"/>
      <c r="M465" s="143"/>
    </row>
    <row r="466" spans="1:94" s="3" customFormat="1" ht="13" x14ac:dyDescent="0.3">
      <c r="B466" s="292" t="str">
        <f>'III. Data Inputs-BE'!$B$43</f>
        <v>November</v>
      </c>
      <c r="C466" s="140">
        <f>'III. Data Inputs-BE'!$E$43</f>
        <v>30</v>
      </c>
      <c r="D466" s="452">
        <f>MIN(0.95, MAX(0.104,EXP(15175*(('III. Data Inputs-BE'!$C$43+273)-303.16)/(1.987*('III. Data Inputs-BE'!$C$43+273)*303.16))))</f>
        <v>0.104</v>
      </c>
      <c r="E466" s="300">
        <f t="shared" si="54"/>
        <v>0</v>
      </c>
      <c r="F466" s="148">
        <f>(E466*'III. Data Inputs-BE'!L80*'III. Data Inputs-BE'!$L$175*C466*0.8)+G466</f>
        <v>0</v>
      </c>
      <c r="G466" s="450">
        <f>IF('III. Data Inputs-BE'!$H$34=TRUE,0,IF('III. Data Inputs-BE'!$C$138="Yes",0,(F465-H465)*(1-INDEX('III. Data Inputs-BE'!$B$141:$D$154, MATCH('V. BE CH4,AS'!B465, 'III. Data Inputs-BE'!$B$141:$B$154,0), MATCH('V. BE CH4,AS'!$C$452,'III. Data Inputs-BE'!$B$141:$D$141,0)))))</f>
        <v>0</v>
      </c>
      <c r="H466" s="148">
        <f t="shared" si="56"/>
        <v>0</v>
      </c>
      <c r="I466" s="148">
        <f>IF('III. Data Inputs-BE'!D43=0,0,H466*'III. Data Inputs-BE'!$C$116*0.68*0.001)*('III. Data Inputs-BE'!G43/'III. Data Inputs-BE'!E43)</f>
        <v>0</v>
      </c>
      <c r="J466" s="148">
        <f t="shared" si="55"/>
        <v>0</v>
      </c>
      <c r="K466" s="142"/>
      <c r="L466" s="142"/>
      <c r="M466" s="143"/>
    </row>
    <row r="467" spans="1:94" s="3" customFormat="1" ht="13" x14ac:dyDescent="0.3">
      <c r="B467" s="528" t="str">
        <f>'III. Data Inputs-BE'!$B$44</f>
        <v>December</v>
      </c>
      <c r="C467" s="464">
        <f>'III. Data Inputs-BE'!$E$44</f>
        <v>31</v>
      </c>
      <c r="D467" s="452">
        <f>MIN(0.95, MAX(0.104,EXP(15175*(('III. Data Inputs-BE'!$C$44+273)-303.16)/(1.987*('III. Data Inputs-BE'!$C$44+273)*303.16))))</f>
        <v>0.104</v>
      </c>
      <c r="E467" s="466">
        <f t="shared" si="54"/>
        <v>0</v>
      </c>
      <c r="F467" s="465">
        <f>(E467*'III. Data Inputs-BE'!L81*'III. Data Inputs-BE'!$L$175*C467*0.8)+G467</f>
        <v>0</v>
      </c>
      <c r="G467" s="467">
        <f>IF('III. Data Inputs-BE'!$H$34=TRUE,0,IF('III. Data Inputs-BE'!$C$138="Yes",0,(F466-H466)*(1-INDEX('III. Data Inputs-BE'!$B$141:$D$154, MATCH('V. BE CH4,AS'!B466, 'III. Data Inputs-BE'!$B$141:$B$154,0), MATCH('V. BE CH4,AS'!$C$452,'III. Data Inputs-BE'!$B$141:$D$141,0)))))</f>
        <v>0</v>
      </c>
      <c r="H467" s="148">
        <f t="shared" si="56"/>
        <v>0</v>
      </c>
      <c r="I467" s="148">
        <f>IF('III. Data Inputs-BE'!D44=0,0,H467*'III. Data Inputs-BE'!$C$116*0.68*0.001)*('III. Data Inputs-BE'!G44/'III. Data Inputs-BE'!E44)</f>
        <v>0</v>
      </c>
      <c r="J467" s="148">
        <f t="shared" si="55"/>
        <v>0</v>
      </c>
      <c r="K467" s="142"/>
      <c r="L467" s="142"/>
      <c r="M467" s="143"/>
    </row>
    <row r="468" spans="1:94" s="3" customFormat="1" ht="13" x14ac:dyDescent="0.3">
      <c r="B468" s="525" t="s">
        <v>392</v>
      </c>
      <c r="C468" s="468"/>
      <c r="D468" s="456"/>
      <c r="E468" s="456"/>
      <c r="F468" s="469"/>
      <c r="G468" s="470"/>
      <c r="H468" s="471">
        <f>SUM(H456:H467)</f>
        <v>0</v>
      </c>
      <c r="I468" s="462">
        <f>SUM(I456:I467)</f>
        <v>0</v>
      </c>
      <c r="J468" s="462">
        <f>SUM(J456:J467)</f>
        <v>0</v>
      </c>
      <c r="K468" s="142"/>
      <c r="L468" s="142"/>
      <c r="M468" s="143"/>
    </row>
    <row r="469" spans="1:94" s="3" customFormat="1" ht="13" x14ac:dyDescent="0.3">
      <c r="B469" s="517"/>
      <c r="D469" s="57"/>
      <c r="E469" s="57"/>
      <c r="F469" s="58"/>
      <c r="G469" s="58"/>
      <c r="H469" s="58"/>
      <c r="I469" s="58"/>
      <c r="J469" s="58"/>
      <c r="K469" s="142"/>
      <c r="L469" s="142"/>
      <c r="M469" s="143"/>
    </row>
    <row r="470" spans="1:94" s="152" customFormat="1" ht="13" x14ac:dyDescent="0.3">
      <c r="A470" s="3"/>
      <c r="B470" s="526" t="s">
        <v>393</v>
      </c>
      <c r="C470" s="428"/>
      <c r="D470" s="460"/>
      <c r="E470" s="460"/>
      <c r="F470" s="461"/>
      <c r="G470" s="472">
        <f>F467-H467</f>
        <v>0</v>
      </c>
      <c r="H470" s="58"/>
      <c r="I470" s="58"/>
      <c r="J470" s="58"/>
      <c r="K470" s="142"/>
      <c r="L470" s="142"/>
      <c r="M470" s="143"/>
      <c r="N470" s="3"/>
      <c r="O470" s="3"/>
      <c r="P470" s="3"/>
      <c r="Q470" s="3"/>
      <c r="R470" s="3"/>
      <c r="S470" s="3"/>
      <c r="T470" s="3"/>
      <c r="U470" s="3"/>
      <c r="V470" s="3"/>
      <c r="W470" s="3"/>
      <c r="X470" s="3"/>
      <c r="Y470" s="3"/>
      <c r="Z470" s="3"/>
      <c r="AA470" s="3"/>
      <c r="AB470" s="3"/>
      <c r="AC470" s="3"/>
      <c r="AD470" s="3"/>
      <c r="AE470" s="3"/>
      <c r="AF470" s="3"/>
      <c r="AG470" s="3"/>
      <c r="AH470" s="3"/>
      <c r="AI470" s="3"/>
      <c r="AJ470" s="3"/>
      <c r="AK470" s="3"/>
      <c r="AL470" s="3"/>
      <c r="AM470" s="3"/>
      <c r="AN470" s="3"/>
      <c r="AO470" s="3"/>
      <c r="AP470" s="3"/>
      <c r="AQ470" s="3"/>
      <c r="AR470" s="3"/>
      <c r="AS470" s="3"/>
      <c r="AT470" s="3"/>
      <c r="AU470" s="3"/>
      <c r="AV470" s="3"/>
      <c r="AW470" s="3"/>
      <c r="AX470" s="3"/>
      <c r="AY470" s="3"/>
      <c r="AZ470" s="3"/>
      <c r="BA470" s="3"/>
      <c r="BB470" s="3"/>
      <c r="BC470" s="3"/>
      <c r="BD470" s="3"/>
      <c r="BE470" s="3"/>
      <c r="BF470" s="3"/>
      <c r="BG470" s="3"/>
      <c r="BH470" s="3"/>
      <c r="BI470" s="3"/>
      <c r="BJ470" s="3"/>
      <c r="BK470" s="3"/>
      <c r="BL470" s="3"/>
      <c r="BM470" s="3"/>
      <c r="BN470" s="3"/>
      <c r="BO470" s="3"/>
      <c r="BP470" s="3"/>
      <c r="BQ470" s="3"/>
      <c r="BR470" s="3"/>
      <c r="BS470" s="3"/>
      <c r="BT470" s="3"/>
      <c r="BU470" s="3"/>
      <c r="BV470" s="3"/>
      <c r="BW470" s="3"/>
      <c r="BX470" s="3"/>
      <c r="BY470" s="3"/>
      <c r="BZ470" s="3"/>
      <c r="CA470" s="3"/>
      <c r="CB470" s="3"/>
      <c r="CC470" s="3"/>
      <c r="CD470" s="3"/>
      <c r="CE470" s="3"/>
      <c r="CF470" s="3"/>
      <c r="CG470" s="3"/>
      <c r="CH470" s="3"/>
      <c r="CI470" s="3"/>
      <c r="CJ470" s="3"/>
      <c r="CK470" s="3"/>
      <c r="CL470" s="3"/>
      <c r="CM470" s="3"/>
      <c r="CN470" s="3"/>
      <c r="CO470" s="3"/>
      <c r="CP470" s="3"/>
    </row>
    <row r="471" spans="1:94" s="3" customFormat="1" ht="62.5" x14ac:dyDescent="0.3">
      <c r="B471" s="47"/>
      <c r="C471" s="13"/>
      <c r="D471" s="41"/>
      <c r="E471" s="41"/>
      <c r="F471" s="41"/>
      <c r="G471" s="459" t="s">
        <v>398</v>
      </c>
      <c r="H471" s="58"/>
      <c r="I471" s="58"/>
      <c r="J471" s="58"/>
      <c r="K471" s="142"/>
      <c r="L471" s="142"/>
      <c r="M471" s="143"/>
    </row>
    <row r="472" spans="1:94" s="3" customFormat="1" ht="13" x14ac:dyDescent="0.3">
      <c r="B472" s="517"/>
      <c r="D472" s="57"/>
      <c r="E472" s="57"/>
      <c r="F472" s="58"/>
      <c r="G472" s="58"/>
      <c r="H472" s="58"/>
      <c r="I472" s="58"/>
      <c r="J472" s="58"/>
      <c r="K472" s="142"/>
      <c r="L472" s="142"/>
      <c r="M472" s="143"/>
    </row>
    <row r="473" spans="1:94" s="3" customFormat="1" ht="13" x14ac:dyDescent="0.3">
      <c r="B473" s="517"/>
      <c r="D473" s="57"/>
      <c r="E473" s="57"/>
      <c r="F473" s="58"/>
      <c r="G473" s="58"/>
      <c r="H473" s="58"/>
      <c r="I473" s="58"/>
      <c r="J473" s="58"/>
      <c r="K473" s="142"/>
      <c r="L473" s="142"/>
      <c r="M473" s="143"/>
    </row>
    <row r="474" spans="1:94" s="3" customFormat="1" ht="13" x14ac:dyDescent="0.3">
      <c r="B474" s="517"/>
      <c r="D474" s="57"/>
      <c r="E474" s="602" t="s">
        <v>229</v>
      </c>
      <c r="F474" s="577"/>
      <c r="G474" s="577"/>
      <c r="H474" s="577"/>
      <c r="I474" s="577"/>
      <c r="J474" s="603"/>
      <c r="K474" s="142"/>
      <c r="L474" s="142"/>
      <c r="M474" s="143"/>
    </row>
    <row r="475" spans="1:94" s="3" customFormat="1" ht="13" x14ac:dyDescent="0.3">
      <c r="B475" s="517"/>
      <c r="D475" s="57"/>
      <c r="E475" s="604"/>
      <c r="F475" s="578"/>
      <c r="G475" s="578"/>
      <c r="H475" s="578"/>
      <c r="I475" s="578"/>
      <c r="J475" s="605"/>
      <c r="K475" s="142"/>
      <c r="L475" s="142"/>
      <c r="M475" s="143"/>
    </row>
    <row r="476" spans="1:94" s="3" customFormat="1" ht="13" x14ac:dyDescent="0.3">
      <c r="B476" s="395" t="str">
        <f>B452</f>
        <v>Population 10</v>
      </c>
      <c r="C476" s="453">
        <f>'III. Data Inputs-BE'!B122</f>
        <v>0</v>
      </c>
      <c r="D476" s="138"/>
      <c r="E476" s="606"/>
      <c r="F476" s="607"/>
      <c r="G476" s="607"/>
      <c r="H476" s="607"/>
      <c r="I476" s="607"/>
      <c r="J476" s="608"/>
      <c r="K476" s="142"/>
      <c r="L476" s="142"/>
      <c r="M476" s="143"/>
    </row>
    <row r="477" spans="1:94" s="3" customFormat="1" ht="15" x14ac:dyDescent="0.3">
      <c r="B477" s="524" t="s">
        <v>383</v>
      </c>
      <c r="C477" s="454">
        <f>C453</f>
        <v>0</v>
      </c>
      <c r="D477" s="41"/>
      <c r="E477" s="58"/>
      <c r="F477" s="57"/>
      <c r="G477" s="57"/>
      <c r="H477" s="57"/>
      <c r="I477" s="57"/>
      <c r="J477" s="57"/>
      <c r="K477" s="142"/>
      <c r="L477" s="142"/>
      <c r="M477" s="143"/>
    </row>
    <row r="478" spans="1:94" s="3" customFormat="1" ht="13" x14ac:dyDescent="0.3">
      <c r="B478" s="524"/>
      <c r="C478" s="128"/>
      <c r="D478" s="41"/>
      <c r="E478" s="58"/>
      <c r="F478" s="57"/>
      <c r="G478" s="57"/>
      <c r="H478" s="57"/>
      <c r="I478" s="57"/>
      <c r="J478" s="57"/>
      <c r="K478" s="142"/>
      <c r="L478" s="142"/>
      <c r="M478" s="143"/>
    </row>
    <row r="479" spans="1:94" s="3" customFormat="1" ht="29" x14ac:dyDescent="0.4">
      <c r="B479" s="369" t="s">
        <v>195</v>
      </c>
      <c r="C479" s="128" t="s">
        <v>384</v>
      </c>
      <c r="D479" s="447" t="s">
        <v>385</v>
      </c>
      <c r="E479" s="448" t="s">
        <v>386</v>
      </c>
      <c r="F479" s="435" t="s">
        <v>387</v>
      </c>
      <c r="G479" s="448" t="s">
        <v>388</v>
      </c>
      <c r="H479" s="435" t="s">
        <v>389</v>
      </c>
      <c r="I479" s="435" t="s">
        <v>390</v>
      </c>
      <c r="J479" s="435" t="s">
        <v>391</v>
      </c>
      <c r="K479" s="142"/>
      <c r="L479" s="142"/>
      <c r="M479" s="143"/>
    </row>
    <row r="480" spans="1:94" s="3" customFormat="1" ht="13" x14ac:dyDescent="0.3">
      <c r="B480" s="292" t="str">
        <f>'III. Data Inputs-BE'!$B$33</f>
        <v>January</v>
      </c>
      <c r="C480" s="140">
        <f>'III. Data Inputs-BE'!$E$33</f>
        <v>31</v>
      </c>
      <c r="D480" s="452">
        <f>MIN(0.95, MAX(0.104,EXP(15175*(('III. Data Inputs-BE'!$C$33+273)-303.16)/(1.987*('III. Data Inputs-BE'!$C$33+273)*303.16))))</f>
        <v>0.104</v>
      </c>
      <c r="E480" s="300">
        <f t="shared" ref="E480:E491" si="57">$C$477</f>
        <v>0</v>
      </c>
      <c r="F480" s="148">
        <f>(E480*'III. Data Inputs-BE'!L70*'III. Data Inputs-BE'!$L$176*C480*0.8)+G480</f>
        <v>0</v>
      </c>
      <c r="G480" s="449">
        <v>0</v>
      </c>
      <c r="H480" s="148">
        <f>F480*D480</f>
        <v>0</v>
      </c>
      <c r="I480" s="148">
        <f>IF('III. Data Inputs-BE'!D33=0,0,H480*'III. Data Inputs-BE'!$C$116*0.68*0.001)*('III. Data Inputs-BE'!G33/'III. Data Inputs-BE'!E33)</f>
        <v>0</v>
      </c>
      <c r="J480" s="148">
        <f t="shared" ref="J480:J491" si="58">I480*gwp_ch4</f>
        <v>0</v>
      </c>
      <c r="K480" s="142"/>
      <c r="L480" s="142"/>
      <c r="M480" s="143"/>
    </row>
    <row r="481" spans="1:94" s="3" customFormat="1" ht="13" x14ac:dyDescent="0.3">
      <c r="B481" s="292" t="str">
        <f>'III. Data Inputs-BE'!$B$34</f>
        <v>February</v>
      </c>
      <c r="C481" s="140">
        <f>'III. Data Inputs-BE'!$E$34</f>
        <v>28</v>
      </c>
      <c r="D481" s="452">
        <f>MIN(0.95, MAX(0.104,EXP(15175*(('III. Data Inputs-BE'!$C$34+273)-303.16)/(1.987*('III. Data Inputs-BE'!$C$34+273)*303.16))))</f>
        <v>0.104</v>
      </c>
      <c r="E481" s="300">
        <f t="shared" si="57"/>
        <v>0</v>
      </c>
      <c r="F481" s="148">
        <f>(E481*'III. Data Inputs-BE'!L71*'III. Data Inputs-BE'!$L$176*C481*0.8)+G481</f>
        <v>0</v>
      </c>
      <c r="G481" s="450">
        <f>IF('III. Data Inputs-BE'!$H$34=TRUE,0,IF('III. Data Inputs-BE'!$C$138="Yes",0,(F480-H480)*(1-INDEX('III. Data Inputs-BE'!$B$141:$D$154, MATCH('V. BE CH4,AS'!B480, 'III. Data Inputs-BE'!$B$141:$B$154,0), MATCH('V. BE CH4,AS'!$C$476,'III. Data Inputs-BE'!$B$141:$D$141,0)))))</f>
        <v>0</v>
      </c>
      <c r="H481" s="148">
        <f t="shared" ref="H481:H491" si="59">F481*D481</f>
        <v>0</v>
      </c>
      <c r="I481" s="148">
        <f>IF('III. Data Inputs-BE'!D34=0,0,H481*'III. Data Inputs-BE'!$C$116*0.68*0.001)*('III. Data Inputs-BE'!G34/'III. Data Inputs-BE'!E34)</f>
        <v>0</v>
      </c>
      <c r="J481" s="148">
        <f t="shared" si="58"/>
        <v>0</v>
      </c>
      <c r="K481" s="142"/>
      <c r="L481" s="142"/>
      <c r="M481" s="143"/>
    </row>
    <row r="482" spans="1:94" s="3" customFormat="1" ht="13" x14ac:dyDescent="0.3">
      <c r="B482" s="292" t="str">
        <f>'III. Data Inputs-BE'!$B$35</f>
        <v>March</v>
      </c>
      <c r="C482" s="140">
        <f>'III. Data Inputs-BE'!$E$35</f>
        <v>31</v>
      </c>
      <c r="D482" s="452">
        <f>MIN(0.95, MAX(0.104,EXP(15175*(('III. Data Inputs-BE'!$C$35+273)-303.16)/(1.987*('III. Data Inputs-BE'!$C$35+273)*303.16))))</f>
        <v>0.104</v>
      </c>
      <c r="E482" s="300">
        <f t="shared" si="57"/>
        <v>0</v>
      </c>
      <c r="F482" s="148">
        <f>(E482*'III. Data Inputs-BE'!L72*'III. Data Inputs-BE'!$L$176*C482*0.8)+G482</f>
        <v>0</v>
      </c>
      <c r="G482" s="450">
        <f>IF('III. Data Inputs-BE'!$H$34=TRUE,0,IF('III. Data Inputs-BE'!$C$138="Yes",0,(F481-H481)*(1-INDEX('III. Data Inputs-BE'!$B$141:$D$154, MATCH('V. BE CH4,AS'!B481, 'III. Data Inputs-BE'!$B$141:$B$154,0), MATCH('V. BE CH4,AS'!$C$476,'III. Data Inputs-BE'!$B$141:$D$141,0)))))</f>
        <v>0</v>
      </c>
      <c r="H482" s="148">
        <f t="shared" si="59"/>
        <v>0</v>
      </c>
      <c r="I482" s="148">
        <f>IF('III. Data Inputs-BE'!D35=0,0,H482*'III. Data Inputs-BE'!$C$116*0.68*0.001)*('III. Data Inputs-BE'!G35/'III. Data Inputs-BE'!E35)</f>
        <v>0</v>
      </c>
      <c r="J482" s="148">
        <f t="shared" si="58"/>
        <v>0</v>
      </c>
      <c r="K482" s="142"/>
      <c r="L482" s="142"/>
      <c r="M482" s="143"/>
    </row>
    <row r="483" spans="1:94" s="3" customFormat="1" ht="13" x14ac:dyDescent="0.3">
      <c r="B483" s="292" t="str">
        <f>'III. Data Inputs-BE'!$B$36</f>
        <v>April</v>
      </c>
      <c r="C483" s="140">
        <f>'III. Data Inputs-BE'!$E$36</f>
        <v>30</v>
      </c>
      <c r="D483" s="452">
        <f>MIN(0.95, MAX(0.104,EXP(15175*(('III. Data Inputs-BE'!$C$36+273)-303.16)/(1.987*('III. Data Inputs-BE'!$C$36+273)*303.16))))</f>
        <v>0.104</v>
      </c>
      <c r="E483" s="300">
        <f t="shared" si="57"/>
        <v>0</v>
      </c>
      <c r="F483" s="148">
        <f>(E483*'III. Data Inputs-BE'!L73*'III. Data Inputs-BE'!$L$176*C483*0.8)+G483</f>
        <v>0</v>
      </c>
      <c r="G483" s="450">
        <f>IF('III. Data Inputs-BE'!$H$34=TRUE,0,IF('III. Data Inputs-BE'!$C$138="Yes",0,(F482-H482)*(1-INDEX('III. Data Inputs-BE'!$B$141:$D$154, MATCH('V. BE CH4,AS'!B482, 'III. Data Inputs-BE'!$B$141:$B$154,0), MATCH('V. BE CH4,AS'!$C$476,'III. Data Inputs-BE'!$B$141:$D$141,0)))))</f>
        <v>0</v>
      </c>
      <c r="H483" s="148">
        <f t="shared" si="59"/>
        <v>0</v>
      </c>
      <c r="I483" s="148">
        <f>IF('III. Data Inputs-BE'!D36=0,0,H483*'III. Data Inputs-BE'!$C$116*0.68*0.001)*('III. Data Inputs-BE'!G36/'III. Data Inputs-BE'!E36)</f>
        <v>0</v>
      </c>
      <c r="J483" s="148">
        <f t="shared" si="58"/>
        <v>0</v>
      </c>
      <c r="K483" s="142"/>
      <c r="L483" s="142"/>
      <c r="M483" s="143"/>
    </row>
    <row r="484" spans="1:94" x14ac:dyDescent="0.25">
      <c r="B484" s="292" t="str">
        <f>'III. Data Inputs-BE'!$B$37</f>
        <v>May</v>
      </c>
      <c r="C484" s="140">
        <f>'III. Data Inputs-BE'!$E$37</f>
        <v>31</v>
      </c>
      <c r="D484" s="452">
        <f>MIN(0.95, MAX(0.104,EXP(15175*(('III. Data Inputs-BE'!$C$37+273)-303.16)/(1.987*('III. Data Inputs-BE'!$C$37+273)*303.16))))</f>
        <v>0.104</v>
      </c>
      <c r="E484" s="300">
        <f t="shared" si="57"/>
        <v>0</v>
      </c>
      <c r="F484" s="148">
        <f>(E484*'III. Data Inputs-BE'!L74*'III. Data Inputs-BE'!$L$176*C484*0.8)+G484</f>
        <v>0</v>
      </c>
      <c r="G484" s="450">
        <f>IF('III. Data Inputs-BE'!$H$34=TRUE,0,IF('III. Data Inputs-BE'!$C$138="Yes",0,(F483-H483)*(1-INDEX('III. Data Inputs-BE'!$B$141:$D$154, MATCH('V. BE CH4,AS'!B483, 'III. Data Inputs-BE'!$B$141:$B$154,0), MATCH('V. BE CH4,AS'!$C$476,'III. Data Inputs-BE'!$B$141:$D$141,0)))))</f>
        <v>0</v>
      </c>
      <c r="H484" s="148">
        <f t="shared" si="59"/>
        <v>0</v>
      </c>
      <c r="I484" s="148">
        <f>IF('III. Data Inputs-BE'!D37=0,0,H484*'III. Data Inputs-BE'!$C$116*0.68*0.001)*('III. Data Inputs-BE'!G37/'III. Data Inputs-BE'!E37)</f>
        <v>0</v>
      </c>
      <c r="J484" s="148">
        <f t="shared" si="58"/>
        <v>0</v>
      </c>
    </row>
    <row r="485" spans="1:94" x14ac:dyDescent="0.25">
      <c r="B485" s="292" t="str">
        <f>'III. Data Inputs-BE'!$B$38</f>
        <v>June</v>
      </c>
      <c r="C485" s="140">
        <f>'III. Data Inputs-BE'!$E$38</f>
        <v>30</v>
      </c>
      <c r="D485" s="452">
        <f>MIN(0.95, MAX(0.104,EXP(15175*(('III. Data Inputs-BE'!$C$38+273)-303.16)/(1.987*('III. Data Inputs-BE'!$C$38+273)*303.16))))</f>
        <v>0.104</v>
      </c>
      <c r="E485" s="300">
        <f t="shared" si="57"/>
        <v>0</v>
      </c>
      <c r="F485" s="148">
        <f>(E485*'III. Data Inputs-BE'!L75*'III. Data Inputs-BE'!$L$176*C485*0.8)+G485</f>
        <v>0</v>
      </c>
      <c r="G485" s="450">
        <f>IF('III. Data Inputs-BE'!$H$34=TRUE,0,IF('III. Data Inputs-BE'!$C$138="Yes",0,(F484-H484)*(1-INDEX('III. Data Inputs-BE'!$B$141:$D$154, MATCH('V. BE CH4,AS'!B484, 'III. Data Inputs-BE'!$B$141:$B$154,0), MATCH('V. BE CH4,AS'!$C$476,'III. Data Inputs-BE'!$B$141:$D$141,0)))))</f>
        <v>0</v>
      </c>
      <c r="H485" s="148">
        <f t="shared" si="59"/>
        <v>0</v>
      </c>
      <c r="I485" s="148">
        <f>IF('III. Data Inputs-BE'!D38=0,0,H485*'III. Data Inputs-BE'!$C$116*0.68*0.001)*('III. Data Inputs-BE'!G38/'III. Data Inputs-BE'!E38)</f>
        <v>0</v>
      </c>
      <c r="J485" s="148">
        <f t="shared" si="58"/>
        <v>0</v>
      </c>
    </row>
    <row r="486" spans="1:94" x14ac:dyDescent="0.25">
      <c r="B486" s="292" t="str">
        <f>'III. Data Inputs-BE'!$B$39</f>
        <v>July</v>
      </c>
      <c r="C486" s="140">
        <f>'III. Data Inputs-BE'!$E$39</f>
        <v>31</v>
      </c>
      <c r="D486" s="452">
        <f>MIN(0.95, MAX(0.104,EXP(15175*(('III. Data Inputs-BE'!$C$39+273)-303.16)/(1.987*('III. Data Inputs-BE'!$C$39+273)*303.16))))</f>
        <v>0.104</v>
      </c>
      <c r="E486" s="300">
        <f t="shared" si="57"/>
        <v>0</v>
      </c>
      <c r="F486" s="148">
        <f>(E486*'III. Data Inputs-BE'!L76*'III. Data Inputs-BE'!$L$176*C486*0.8)+G486</f>
        <v>0</v>
      </c>
      <c r="G486" s="450">
        <f>IF('III. Data Inputs-BE'!$H$34=TRUE,0,IF('III. Data Inputs-BE'!$C$138="Yes",0,(F485-H485)*(1-INDEX('III. Data Inputs-BE'!$B$141:$D$154, MATCH('V. BE CH4,AS'!B485, 'III. Data Inputs-BE'!$B$141:$B$154,0), MATCH('V. BE CH4,AS'!$C$476,'III. Data Inputs-BE'!$B$141:$D$141,0)))))</f>
        <v>0</v>
      </c>
      <c r="H486" s="148">
        <f t="shared" si="59"/>
        <v>0</v>
      </c>
      <c r="I486" s="148">
        <f>IF('III. Data Inputs-BE'!D39=0,0,H486*'III. Data Inputs-BE'!$C$116*0.68*0.001)*('III. Data Inputs-BE'!G39/'III. Data Inputs-BE'!E39)</f>
        <v>0</v>
      </c>
      <c r="J486" s="148">
        <f t="shared" si="58"/>
        <v>0</v>
      </c>
    </row>
    <row r="487" spans="1:94" x14ac:dyDescent="0.25">
      <c r="B487" s="292" t="str">
        <f>'III. Data Inputs-BE'!$B$40</f>
        <v>August</v>
      </c>
      <c r="C487" s="140">
        <f>'III. Data Inputs-BE'!$E$40</f>
        <v>31</v>
      </c>
      <c r="D487" s="452">
        <f>MIN(0.95, MAX(0.104,EXP(15175*(('III. Data Inputs-BE'!$C$40+273)-303.16)/(1.987*('III. Data Inputs-BE'!$C$40+273)*303.16))))</f>
        <v>0.104</v>
      </c>
      <c r="E487" s="300">
        <f t="shared" si="57"/>
        <v>0</v>
      </c>
      <c r="F487" s="148">
        <f>(E487*'III. Data Inputs-BE'!L77*'III. Data Inputs-BE'!$L$176*C487*0.8)+G487</f>
        <v>0</v>
      </c>
      <c r="G487" s="450">
        <f>IF('III. Data Inputs-BE'!$H$34=TRUE,0,IF('III. Data Inputs-BE'!$C$138="Yes",0,(F486-H486)*(1-INDEX('III. Data Inputs-BE'!$B$141:$D$154, MATCH('V. BE CH4,AS'!B486, 'III. Data Inputs-BE'!$B$141:$B$154,0), MATCH('V. BE CH4,AS'!$C$476,'III. Data Inputs-BE'!$B$141:$D$141,0)))))</f>
        <v>0</v>
      </c>
      <c r="H487" s="148">
        <f t="shared" si="59"/>
        <v>0</v>
      </c>
      <c r="I487" s="148">
        <f>IF('III. Data Inputs-BE'!D40=0,0,H487*'III. Data Inputs-BE'!$C$116*0.68*0.001)*('III. Data Inputs-BE'!G40/'III. Data Inputs-BE'!E40)</f>
        <v>0</v>
      </c>
      <c r="J487" s="148">
        <f t="shared" si="58"/>
        <v>0</v>
      </c>
    </row>
    <row r="488" spans="1:94" x14ac:dyDescent="0.25">
      <c r="B488" s="292" t="str">
        <f>'III. Data Inputs-BE'!$B$41</f>
        <v>September</v>
      </c>
      <c r="C488" s="140">
        <f>'III. Data Inputs-BE'!$E$41</f>
        <v>30</v>
      </c>
      <c r="D488" s="452">
        <f>MIN(0.95, MAX(0.104,EXP(15175*(('III. Data Inputs-BE'!$C$41+273)-303.16)/(1.987*('III. Data Inputs-BE'!$C$41+273)*303.16))))</f>
        <v>0.104</v>
      </c>
      <c r="E488" s="300">
        <f t="shared" si="57"/>
        <v>0</v>
      </c>
      <c r="F488" s="148">
        <f>(E488*'III. Data Inputs-BE'!L78*'III. Data Inputs-BE'!$L$176*C488*0.8)+G488</f>
        <v>0</v>
      </c>
      <c r="G488" s="450">
        <f>IF('III. Data Inputs-BE'!$H$34=TRUE,0,IF('III. Data Inputs-BE'!$C$138="Yes",0,(F487-H487)*(1-INDEX('III. Data Inputs-BE'!$B$141:$D$154, MATCH('V. BE CH4,AS'!B487, 'III. Data Inputs-BE'!$B$141:$B$154,0), MATCH('V. BE CH4,AS'!$C$476,'III. Data Inputs-BE'!$B$141:$D$141,0)))))</f>
        <v>0</v>
      </c>
      <c r="H488" s="148">
        <f t="shared" si="59"/>
        <v>0</v>
      </c>
      <c r="I488" s="148">
        <f>IF('III. Data Inputs-BE'!D41=0,0,H488*'III. Data Inputs-BE'!$C$116*0.68*0.001)*('III. Data Inputs-BE'!G41/'III. Data Inputs-BE'!E41)</f>
        <v>0</v>
      </c>
      <c r="J488" s="148">
        <f t="shared" si="58"/>
        <v>0</v>
      </c>
    </row>
    <row r="489" spans="1:94" x14ac:dyDescent="0.25">
      <c r="B489" s="292" t="str">
        <f>'III. Data Inputs-BE'!$B$42</f>
        <v>October</v>
      </c>
      <c r="C489" s="140">
        <f>'III. Data Inputs-BE'!$E$42</f>
        <v>31</v>
      </c>
      <c r="D489" s="452">
        <f>MIN(0.95, MAX(0.104,EXP(15175*(('III. Data Inputs-BE'!$C$42+273)-303.16)/(1.987*('III. Data Inputs-BE'!$C$42+273)*303.16))))</f>
        <v>0.104</v>
      </c>
      <c r="E489" s="300">
        <f t="shared" si="57"/>
        <v>0</v>
      </c>
      <c r="F489" s="148">
        <f>(E489*'III. Data Inputs-BE'!L79*'III. Data Inputs-BE'!$L$176*C489*0.8)+G489</f>
        <v>0</v>
      </c>
      <c r="G489" s="450">
        <f>IF('III. Data Inputs-BE'!$H$34=TRUE,0,IF('III. Data Inputs-BE'!$C$138="Yes",0,(F488-H488)*(1-INDEX('III. Data Inputs-BE'!$B$141:$D$154, MATCH('V. BE CH4,AS'!B488, 'III. Data Inputs-BE'!$B$141:$B$154,0), MATCH('V. BE CH4,AS'!$C$476,'III. Data Inputs-BE'!$B$141:$D$141,0)))))</f>
        <v>0</v>
      </c>
      <c r="H489" s="148">
        <f t="shared" si="59"/>
        <v>0</v>
      </c>
      <c r="I489" s="148">
        <f>IF('III. Data Inputs-BE'!D42=0,0,H489*'III. Data Inputs-BE'!$C$116*0.68*0.001)*('III. Data Inputs-BE'!G42/'III. Data Inputs-BE'!E42)</f>
        <v>0</v>
      </c>
      <c r="J489" s="148">
        <f t="shared" si="58"/>
        <v>0</v>
      </c>
    </row>
    <row r="490" spans="1:94" x14ac:dyDescent="0.25">
      <c r="B490" s="292" t="str">
        <f>'III. Data Inputs-BE'!$B$43</f>
        <v>November</v>
      </c>
      <c r="C490" s="140">
        <f>'III. Data Inputs-BE'!$E$43</f>
        <v>30</v>
      </c>
      <c r="D490" s="452">
        <f>MIN(0.95, MAX(0.104,EXP(15175*(('III. Data Inputs-BE'!$C$43+273)-303.16)/(1.987*('III. Data Inputs-BE'!$C$43+273)*303.16))))</f>
        <v>0.104</v>
      </c>
      <c r="E490" s="300">
        <f t="shared" si="57"/>
        <v>0</v>
      </c>
      <c r="F490" s="148">
        <f>(E490*'III. Data Inputs-BE'!L80*'III. Data Inputs-BE'!$L$176*C490*0.8)+G490</f>
        <v>0</v>
      </c>
      <c r="G490" s="450">
        <f>IF('III. Data Inputs-BE'!$H$34=TRUE,0,IF('III. Data Inputs-BE'!$C$138="Yes",0,(F489-H489)*(1-INDEX('III. Data Inputs-BE'!$B$141:$D$154, MATCH('V. BE CH4,AS'!B489, 'III. Data Inputs-BE'!$B$141:$B$154,0), MATCH('V. BE CH4,AS'!$C$476,'III. Data Inputs-BE'!$B$141:$D$141,0)))))</f>
        <v>0</v>
      </c>
      <c r="H490" s="148">
        <f t="shared" si="59"/>
        <v>0</v>
      </c>
      <c r="I490" s="148">
        <f>IF('III. Data Inputs-BE'!D43=0,0,H490*'III. Data Inputs-BE'!$C$116*0.68*0.001)*('III. Data Inputs-BE'!G43/'III. Data Inputs-BE'!E43)</f>
        <v>0</v>
      </c>
      <c r="J490" s="148">
        <f t="shared" si="58"/>
        <v>0</v>
      </c>
    </row>
    <row r="491" spans="1:94" x14ac:dyDescent="0.25">
      <c r="B491" s="528" t="str">
        <f>'III. Data Inputs-BE'!$B$44</f>
        <v>December</v>
      </c>
      <c r="C491" s="464">
        <f>'III. Data Inputs-BE'!$E$44</f>
        <v>31</v>
      </c>
      <c r="D491" s="452">
        <f>MIN(0.95, MAX(0.104,EXP(15175*(('III. Data Inputs-BE'!$C$44+273)-303.16)/(1.987*('III. Data Inputs-BE'!$C$44+273)*303.16))))</f>
        <v>0.104</v>
      </c>
      <c r="E491" s="466">
        <f t="shared" si="57"/>
        <v>0</v>
      </c>
      <c r="F491" s="465">
        <f>(E491*'III. Data Inputs-BE'!L81*'III. Data Inputs-BE'!$L$176*C491*0.8)+G491</f>
        <v>0</v>
      </c>
      <c r="G491" s="467">
        <f>IF('III. Data Inputs-BE'!$H$34=TRUE,0,IF('III. Data Inputs-BE'!$C$138="Yes",0,(F490-H490)*(1-INDEX('III. Data Inputs-BE'!$B$141:$D$154, MATCH('V. BE CH4,AS'!B490, 'III. Data Inputs-BE'!$B$141:$B$154,0), MATCH('V. BE CH4,AS'!$C$476,'III. Data Inputs-BE'!$B$141:$D$141,0)))))</f>
        <v>0</v>
      </c>
      <c r="H491" s="148">
        <f t="shared" si="59"/>
        <v>0</v>
      </c>
      <c r="I491" s="148">
        <f>IF('III. Data Inputs-BE'!D44=0,0,H491*'III. Data Inputs-BE'!$C$116*0.68*0.001)*('III. Data Inputs-BE'!G44/'III. Data Inputs-BE'!E44)</f>
        <v>0</v>
      </c>
      <c r="J491" s="148">
        <f t="shared" si="58"/>
        <v>0</v>
      </c>
    </row>
    <row r="492" spans="1:94" ht="13" x14ac:dyDescent="0.3">
      <c r="B492" s="525" t="s">
        <v>392</v>
      </c>
      <c r="C492" s="468"/>
      <c r="D492" s="456"/>
      <c r="E492" s="456"/>
      <c r="F492" s="469"/>
      <c r="G492" s="470"/>
      <c r="H492" s="471">
        <f>SUM(H480:H491)</f>
        <v>0</v>
      </c>
      <c r="I492" s="462">
        <f>SUM(I480:I491)</f>
        <v>0</v>
      </c>
      <c r="J492" s="462">
        <f>SUM(J480:J491)</f>
        <v>0</v>
      </c>
    </row>
    <row r="493" spans="1:94" ht="13" x14ac:dyDescent="0.3">
      <c r="B493" s="517"/>
      <c r="C493" s="3"/>
      <c r="D493" s="57"/>
      <c r="E493" s="57"/>
      <c r="F493" s="58"/>
      <c r="G493" s="58"/>
      <c r="H493" s="58"/>
      <c r="I493" s="58"/>
      <c r="J493" s="58"/>
    </row>
    <row r="494" spans="1:94" s="60" customFormat="1" ht="13" x14ac:dyDescent="0.3">
      <c r="A494" s="13"/>
      <c r="B494" s="526" t="s">
        <v>393</v>
      </c>
      <c r="C494" s="428"/>
      <c r="D494" s="460"/>
      <c r="E494" s="460"/>
      <c r="F494" s="461"/>
      <c r="G494" s="472">
        <f>F491-H491</f>
        <v>0</v>
      </c>
      <c r="H494" s="58"/>
      <c r="I494" s="58"/>
      <c r="J494" s="58"/>
      <c r="K494" s="13"/>
      <c r="L494" s="13"/>
      <c r="M494" s="13"/>
      <c r="N494" s="13"/>
      <c r="O494" s="13"/>
      <c r="P494" s="13"/>
      <c r="Q494" s="13"/>
      <c r="R494" s="13"/>
      <c r="S494" s="13"/>
      <c r="T494" s="13"/>
      <c r="U494" s="13"/>
      <c r="V494" s="13"/>
      <c r="W494" s="13"/>
      <c r="X494" s="13"/>
      <c r="Y494" s="13"/>
      <c r="Z494" s="13"/>
      <c r="AA494" s="13"/>
      <c r="AB494" s="13"/>
      <c r="AC494" s="13"/>
      <c r="AD494" s="13"/>
      <c r="AE494" s="13"/>
      <c r="AF494" s="13"/>
      <c r="AG494" s="13"/>
      <c r="AH494" s="13"/>
      <c r="AI494" s="13"/>
      <c r="AJ494" s="13"/>
      <c r="AK494" s="13"/>
      <c r="AL494" s="13"/>
      <c r="AM494" s="13"/>
      <c r="AN494" s="13"/>
      <c r="AO494" s="13"/>
      <c r="AP494" s="13"/>
      <c r="AQ494" s="13"/>
      <c r="AR494" s="13"/>
      <c r="AS494" s="13"/>
      <c r="AT494" s="13"/>
      <c r="AU494" s="13"/>
      <c r="AV494" s="13"/>
      <c r="AW494" s="13"/>
      <c r="AX494" s="13"/>
      <c r="AY494" s="13"/>
      <c r="AZ494" s="13"/>
      <c r="BA494" s="13"/>
      <c r="BB494" s="13"/>
      <c r="BC494" s="13"/>
      <c r="BD494" s="13"/>
      <c r="BE494" s="13"/>
      <c r="BF494" s="13"/>
      <c r="BG494" s="13"/>
      <c r="BH494" s="13"/>
      <c r="BI494" s="13"/>
      <c r="BJ494" s="13"/>
      <c r="BK494" s="13"/>
      <c r="BL494" s="13"/>
      <c r="BM494" s="13"/>
      <c r="BN494" s="13"/>
      <c r="BO494" s="13"/>
      <c r="BP494" s="13"/>
      <c r="BQ494" s="13"/>
      <c r="BR494" s="13"/>
      <c r="BS494" s="13"/>
      <c r="BT494" s="13"/>
      <c r="BU494" s="13"/>
      <c r="BV494" s="13"/>
      <c r="BW494" s="13"/>
      <c r="BX494" s="13"/>
      <c r="BY494" s="13"/>
      <c r="BZ494" s="13"/>
      <c r="CA494" s="13"/>
      <c r="CB494" s="13"/>
      <c r="CC494" s="13"/>
      <c r="CD494" s="13"/>
      <c r="CE494" s="13"/>
      <c r="CF494" s="13"/>
      <c r="CG494" s="13"/>
      <c r="CH494" s="13"/>
      <c r="CI494" s="13"/>
      <c r="CJ494" s="13"/>
      <c r="CK494" s="13"/>
      <c r="CL494" s="13"/>
      <c r="CM494" s="13"/>
      <c r="CN494" s="13"/>
      <c r="CO494" s="13"/>
      <c r="CP494" s="13"/>
    </row>
    <row r="495" spans="1:94" ht="62.5" x14ac:dyDescent="0.3">
      <c r="G495" s="459" t="s">
        <v>394</v>
      </c>
      <c r="H495" s="58"/>
      <c r="I495" s="58"/>
      <c r="J495" s="58"/>
    </row>
    <row r="497" spans="2:10" x14ac:dyDescent="0.25">
      <c r="E497" s="549" t="s">
        <v>229</v>
      </c>
      <c r="F497" s="554"/>
      <c r="G497" s="554"/>
      <c r="H497" s="554"/>
      <c r="I497" s="554"/>
      <c r="J497" s="554"/>
    </row>
    <row r="498" spans="2:10" x14ac:dyDescent="0.25">
      <c r="E498" s="554"/>
      <c r="F498" s="554"/>
      <c r="G498" s="554"/>
      <c r="H498" s="554"/>
      <c r="I498" s="554"/>
      <c r="J498" s="554"/>
    </row>
    <row r="501" spans="2:10" ht="17.5" x14ac:dyDescent="0.25">
      <c r="B501" s="240" t="s">
        <v>399</v>
      </c>
    </row>
    <row r="502" spans="2:10" ht="16" x14ac:dyDescent="0.4">
      <c r="B502" s="370" t="s">
        <v>400</v>
      </c>
      <c r="C502" s="462">
        <f>I492+I468+I444+I420+I396+I372+I349+I325+I299+I275+I251+I226+I203+I179+I155+I131+I107+I82+I58+I34</f>
        <v>0</v>
      </c>
      <c r="D502" s="58" t="s">
        <v>401</v>
      </c>
      <c r="E502" s="13"/>
      <c r="F502" s="13"/>
      <c r="G502" s="13"/>
    </row>
    <row r="503" spans="2:10" ht="16" x14ac:dyDescent="0.4">
      <c r="B503" s="370" t="s">
        <v>402</v>
      </c>
      <c r="C503" s="462">
        <f>J492+J468+J444+J420+J396+J372+J349+J325+J299+J275+J251+J226+J203+J179+J155+J131+J107+J82+J58+J34</f>
        <v>0</v>
      </c>
      <c r="D503" s="72" t="s">
        <v>142</v>
      </c>
      <c r="E503" s="13"/>
      <c r="F503" s="13"/>
      <c r="G503" s="13"/>
    </row>
    <row r="505" spans="2:10" x14ac:dyDescent="0.25">
      <c r="B505" s="554" t="s">
        <v>229</v>
      </c>
      <c r="C505" s="554"/>
      <c r="D505" s="554"/>
      <c r="E505" s="554"/>
      <c r="F505" s="554"/>
      <c r="G505" s="554"/>
      <c r="H505" s="554"/>
      <c r="I505" s="554"/>
      <c r="J505" s="554"/>
    </row>
    <row r="506" spans="2:10" x14ac:dyDescent="0.25">
      <c r="B506" s="554"/>
      <c r="C506" s="554"/>
      <c r="D506" s="554"/>
      <c r="E506" s="554"/>
      <c r="F506" s="554"/>
      <c r="G506" s="554"/>
      <c r="H506" s="554"/>
      <c r="I506" s="554"/>
      <c r="J506" s="554"/>
    </row>
    <row r="507" spans="2:10" x14ac:dyDescent="0.25">
      <c r="B507" s="554"/>
      <c r="C507" s="554"/>
      <c r="D507" s="554"/>
      <c r="E507" s="554"/>
      <c r="F507" s="554"/>
      <c r="G507" s="554"/>
      <c r="H507" s="554"/>
      <c r="I507" s="554"/>
      <c r="J507" s="554"/>
    </row>
    <row r="508" spans="2:10" x14ac:dyDescent="0.25">
      <c r="B508" s="554"/>
      <c r="C508" s="554"/>
      <c r="D508" s="554"/>
      <c r="E508" s="554"/>
      <c r="F508" s="554"/>
      <c r="G508" s="554"/>
      <c r="H508" s="554"/>
      <c r="I508" s="554"/>
      <c r="J508" s="554"/>
    </row>
    <row r="509" spans="2:10" x14ac:dyDescent="0.25">
      <c r="B509" s="554"/>
      <c r="C509" s="554"/>
      <c r="D509" s="554"/>
      <c r="E509" s="554"/>
      <c r="F509" s="554"/>
      <c r="G509" s="554"/>
      <c r="H509" s="554"/>
      <c r="I509" s="554"/>
      <c r="J509" s="554"/>
    </row>
    <row r="510" spans="2:10" x14ac:dyDescent="0.25">
      <c r="B510" s="554"/>
      <c r="C510" s="554"/>
      <c r="D510" s="554"/>
      <c r="E510" s="554"/>
      <c r="F510" s="554"/>
      <c r="G510" s="554"/>
      <c r="H510" s="554"/>
      <c r="I510" s="554"/>
      <c r="J510" s="554"/>
    </row>
    <row r="511" spans="2:10" x14ac:dyDescent="0.25">
      <c r="B511" s="554"/>
      <c r="C511" s="554"/>
      <c r="D511" s="554"/>
      <c r="E511" s="554"/>
      <c r="F511" s="554"/>
      <c r="G511" s="554"/>
      <c r="H511" s="554"/>
      <c r="I511" s="554"/>
      <c r="J511" s="554"/>
    </row>
  </sheetData>
  <sheetProtection algorithmName="SHA-512" hashValue="Xq944T8FUKWTIZZoVTtEoC8c4jMpoWUTaaxrM9Y3xeD6N6zAmOEbVJou98IVs8+UMO56ZAdbUKmbCrqA5ninqg==" saltValue="9xTM9YgAMN93yxF8qXX4ng==" spinCount="100000" sheet="1" objects="1" scenarios="1"/>
  <customSheetViews>
    <customSheetView guid="{A6F5A5FB-2E6E-47D3-842C-0D3D06DB341A}" scale="60" hiddenColumns="1">
      <selection activeCell="B2" sqref="B2"/>
      <rowBreaks count="4" manualBreakCount="4">
        <brk id="51" min="1" max="8" man="1"/>
        <brk id="120" min="1" max="8" man="1"/>
        <brk id="189" min="1" max="8" man="1"/>
        <brk id="332" min="1" max="8" man="1"/>
      </rowBreaks>
      <pageMargins left="0" right="0" top="0" bottom="0" header="0" footer="0"/>
      <printOptions horizontalCentered="1" verticalCentered="1"/>
      <pageSetup scale="48" fitToHeight="6" orientation="landscape" r:id="rId1"/>
      <headerFooter alignWithMargins="0"/>
    </customSheetView>
  </customSheetViews>
  <mergeCells count="28">
    <mergeCell ref="E185:J187"/>
    <mergeCell ref="C11:G11"/>
    <mergeCell ref="B505:J511"/>
    <mergeCell ref="E426:J428"/>
    <mergeCell ref="E450:J452"/>
    <mergeCell ref="E474:J476"/>
    <mergeCell ref="E497:J498"/>
    <mergeCell ref="E401:J403"/>
    <mergeCell ref="E232:J234"/>
    <mergeCell ref="E257:J259"/>
    <mergeCell ref="E331:J333"/>
    <mergeCell ref="E354:J356"/>
    <mergeCell ref="C5:G5"/>
    <mergeCell ref="E377:J379"/>
    <mergeCell ref="E281:J283"/>
    <mergeCell ref="E305:J307"/>
    <mergeCell ref="E39:J41"/>
    <mergeCell ref="E63:J65"/>
    <mergeCell ref="E88:J90"/>
    <mergeCell ref="E113:J115"/>
    <mergeCell ref="E137:J139"/>
    <mergeCell ref="E161:J163"/>
    <mergeCell ref="E209:J211"/>
    <mergeCell ref="B16:J16"/>
    <mergeCell ref="C9:G9"/>
    <mergeCell ref="C10:G10"/>
    <mergeCell ref="C7:G7"/>
    <mergeCell ref="C8:G8"/>
  </mergeCells>
  <phoneticPr fontId="2" type="noConversion"/>
  <dataValidations count="1">
    <dataValidation allowBlank="1" showInputMessage="1" showErrorMessage="1" prompt="If this is the first year of the project, enter zero, otherwise enter the solids carried over from December of the previous year" sqref="G480 G432 G384 G337 G287 G239 G191 G143 G95 G46 G22 G70 G119 G167 G214 G263 G313 G360 G408 G456" xr:uid="{00000000-0002-0000-0400-000000000000}"/>
  </dataValidations>
  <printOptions horizontalCentered="1" verticalCentered="1"/>
  <pageMargins left="0.25" right="0.25" top="0.25" bottom="0.25" header="0.25" footer="0.25"/>
  <pageSetup scale="48" fitToHeight="6" orientation="landscape" r:id="rId2"/>
  <headerFooter alignWithMargins="0"/>
  <rowBreaks count="4" manualBreakCount="4">
    <brk id="52" min="1" max="8" man="1"/>
    <brk id="121" min="1" max="8" man="1"/>
    <brk id="190" min="1" max="8" man="1"/>
    <brk id="333" min="1"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N181"/>
  <sheetViews>
    <sheetView showGridLines="0" zoomScale="80" zoomScaleNormal="80" zoomScaleSheetLayoutView="75" workbookViewId="0">
      <selection activeCell="I24" sqref="I24"/>
    </sheetView>
  </sheetViews>
  <sheetFormatPr defaultColWidth="9.1796875" defaultRowHeight="13" x14ac:dyDescent="0.3"/>
  <cols>
    <col min="1" max="1" width="3.81640625" style="13" customWidth="1"/>
    <col min="2" max="2" width="25" style="4" customWidth="1"/>
    <col min="3" max="3" width="14.7265625" style="13" customWidth="1"/>
    <col min="4" max="4" width="17.453125" style="13" customWidth="1"/>
    <col min="5" max="5" width="21.54296875" style="13" bestFit="1" customWidth="1"/>
    <col min="6" max="6" width="11.453125" style="13" bestFit="1" customWidth="1"/>
    <col min="7" max="7" width="19.1796875" style="13" bestFit="1" customWidth="1"/>
    <col min="8" max="8" width="17.26953125" style="13" bestFit="1" customWidth="1"/>
    <col min="9" max="9" width="19.7265625" style="41" bestFit="1" customWidth="1"/>
    <col min="10" max="10" width="24.7265625" style="41" bestFit="1" customWidth="1"/>
    <col min="11" max="11" width="20.453125" style="13" bestFit="1" customWidth="1"/>
    <col min="12" max="16384" width="9.1796875" style="13"/>
  </cols>
  <sheetData>
    <row r="1" spans="2:14" x14ac:dyDescent="0.3">
      <c r="B1" s="14" t="s">
        <v>0</v>
      </c>
    </row>
    <row r="2" spans="2:14" ht="14.25" customHeight="1" x14ac:dyDescent="0.3">
      <c r="B2" s="14" t="s">
        <v>116</v>
      </c>
    </row>
    <row r="3" spans="2:14" ht="14.25" customHeight="1" x14ac:dyDescent="0.3">
      <c r="B3" s="14"/>
    </row>
    <row r="4" spans="2:14" ht="18" x14ac:dyDescent="0.4">
      <c r="B4" s="181" t="s">
        <v>403</v>
      </c>
    </row>
    <row r="6" spans="2:14" x14ac:dyDescent="0.3">
      <c r="B6" s="3" t="s">
        <v>118</v>
      </c>
      <c r="C6" s="26"/>
      <c r="D6" s="27"/>
      <c r="E6" s="4"/>
      <c r="F6" s="46"/>
      <c r="G6" s="46"/>
      <c r="H6" s="46"/>
      <c r="I6" s="126"/>
    </row>
    <row r="7" spans="2:14" x14ac:dyDescent="0.3">
      <c r="B7" s="421" t="s">
        <v>119</v>
      </c>
      <c r="C7" s="422" t="s">
        <v>174</v>
      </c>
      <c r="D7" s="423"/>
      <c r="E7" s="424"/>
      <c r="F7" s="46"/>
      <c r="G7" s="52"/>
      <c r="H7" s="51"/>
      <c r="I7" s="51"/>
      <c r="J7" s="51"/>
    </row>
    <row r="8" spans="2:14" x14ac:dyDescent="0.3">
      <c r="B8" s="165" t="s">
        <v>121</v>
      </c>
      <c r="C8" s="98" t="s">
        <v>122</v>
      </c>
      <c r="D8" s="166"/>
      <c r="E8" s="167"/>
      <c r="F8" s="46"/>
      <c r="G8" s="51"/>
      <c r="H8" s="51"/>
      <c r="I8" s="51"/>
      <c r="J8" s="51"/>
    </row>
    <row r="9" spans="2:14" x14ac:dyDescent="0.3">
      <c r="B9" s="251" t="s">
        <v>179</v>
      </c>
      <c r="C9" s="248" t="s">
        <v>180</v>
      </c>
      <c r="D9" s="252"/>
      <c r="E9" s="253"/>
      <c r="F9" s="46"/>
      <c r="G9" s="51"/>
      <c r="H9" s="51"/>
      <c r="I9" s="51"/>
      <c r="J9" s="51"/>
    </row>
    <row r="10" spans="2:14" x14ac:dyDescent="0.3">
      <c r="C10" s="26"/>
      <c r="D10" s="27"/>
      <c r="E10" s="4"/>
      <c r="F10" s="46"/>
      <c r="G10" s="51"/>
      <c r="H10" s="51"/>
      <c r="I10" s="51"/>
      <c r="J10" s="51"/>
    </row>
    <row r="11" spans="2:14" x14ac:dyDescent="0.3">
      <c r="B11" s="100" t="s">
        <v>282</v>
      </c>
      <c r="E11" s="3"/>
      <c r="G11" s="51"/>
      <c r="H11" s="51"/>
      <c r="I11" s="51"/>
      <c r="J11" s="51"/>
    </row>
    <row r="12" spans="2:14" x14ac:dyDescent="0.3">
      <c r="B12" s="168"/>
      <c r="G12" s="51"/>
      <c r="H12" s="51"/>
      <c r="I12" s="51"/>
      <c r="J12" s="51"/>
    </row>
    <row r="13" spans="2:14" ht="15.5" x14ac:dyDescent="0.35">
      <c r="B13" s="89" t="s">
        <v>404</v>
      </c>
      <c r="C13" s="26"/>
      <c r="D13" s="26"/>
      <c r="E13" s="26"/>
      <c r="F13" s="26"/>
      <c r="G13" s="26"/>
      <c r="H13" s="26"/>
      <c r="I13" s="69"/>
      <c r="J13" s="69"/>
    </row>
    <row r="14" spans="2:14" ht="12.5" x14ac:dyDescent="0.25">
      <c r="B14" s="568" t="s">
        <v>405</v>
      </c>
      <c r="C14" s="568"/>
      <c r="D14" s="568"/>
      <c r="E14" s="568"/>
      <c r="F14" s="568"/>
      <c r="G14" s="568"/>
      <c r="H14" s="568"/>
      <c r="I14" s="568"/>
      <c r="J14" s="568"/>
      <c r="N14" s="27"/>
    </row>
    <row r="15" spans="2:14" ht="19.5" customHeight="1" thickBot="1" x14ac:dyDescent="0.35">
      <c r="B15" s="169"/>
      <c r="C15" s="170"/>
      <c r="D15" s="170"/>
      <c r="E15" s="170"/>
      <c r="F15" s="170"/>
      <c r="G15" s="170"/>
      <c r="H15" s="170"/>
      <c r="I15" s="171"/>
      <c r="J15" s="171"/>
      <c r="N15" s="27"/>
    </row>
    <row r="16" spans="2:14" ht="13.5" thickBot="1" x14ac:dyDescent="0.35">
      <c r="B16" s="172">
        <f>'III. Data Inputs-BE'!C121</f>
        <v>0</v>
      </c>
      <c r="H16" s="41"/>
      <c r="J16" s="13"/>
    </row>
    <row r="17" spans="2:10" s="4" customFormat="1" ht="16.5" thickBot="1" x14ac:dyDescent="0.45">
      <c r="B17" s="155" t="s">
        <v>406</v>
      </c>
      <c r="C17" s="162" t="s">
        <v>407</v>
      </c>
      <c r="D17" s="162" t="s">
        <v>408</v>
      </c>
      <c r="E17" s="162" t="s">
        <v>409</v>
      </c>
      <c r="F17" s="162" t="s">
        <v>410</v>
      </c>
      <c r="G17" s="162" t="s">
        <v>411</v>
      </c>
      <c r="H17" s="156" t="s">
        <v>412</v>
      </c>
      <c r="I17" s="163" t="s">
        <v>413</v>
      </c>
    </row>
    <row r="18" spans="2:10" x14ac:dyDescent="0.3">
      <c r="B18" s="185" t="str">
        <f>'III. Data Inputs-BE'!B107</f>
        <v>Population 1</v>
      </c>
      <c r="C18" s="186">
        <f>'III. Data Inputs-BE'!$C$82</f>
        <v>1</v>
      </c>
      <c r="D18" s="186">
        <f>'III. Data Inputs-BE'!C179</f>
        <v>0</v>
      </c>
      <c r="E18" s="187">
        <f>'V. BE CH4,AS'!$C$19</f>
        <v>0</v>
      </c>
      <c r="F18" s="186">
        <f>'III. Data Inputs-BE'!$C$159</f>
        <v>0</v>
      </c>
      <c r="G18" s="186">
        <f>'III. Data Inputs-BE'!$C$107</f>
        <v>0.17</v>
      </c>
      <c r="H18" s="157">
        <f>C18*D18*E18*'III. Data Inputs-BE'!$G$45*F18*G18*0.68*0.001</f>
        <v>0</v>
      </c>
      <c r="I18" s="158">
        <f t="shared" ref="I18:I27" si="0">H18*gwp_ch4</f>
        <v>0</v>
      </c>
      <c r="J18" s="13"/>
    </row>
    <row r="19" spans="2:10" x14ac:dyDescent="0.3">
      <c r="B19" s="173" t="str">
        <f>'III. Data Inputs-BE'!B108</f>
        <v>Population 2</v>
      </c>
      <c r="C19" s="175">
        <f>'III. Data Inputs-BE'!$D$82</f>
        <v>2</v>
      </c>
      <c r="D19" s="175">
        <f>'III. Data Inputs-BE'!D179</f>
        <v>0</v>
      </c>
      <c r="E19" s="176">
        <f>'V. BE CH4,AS'!$C$67</f>
        <v>0</v>
      </c>
      <c r="F19" s="174">
        <f>'III. Data Inputs-BE'!$C$159</f>
        <v>0</v>
      </c>
      <c r="G19" s="174">
        <f>'III. Data Inputs-BE'!$C$108</f>
        <v>0.17</v>
      </c>
      <c r="H19" s="148">
        <f>C19*D19*E19*'III. Data Inputs-BE'!$G$45*F19*G19*0.68*0.001</f>
        <v>0</v>
      </c>
      <c r="I19" s="149">
        <f t="shared" si="0"/>
        <v>0</v>
      </c>
      <c r="J19" s="13"/>
    </row>
    <row r="20" spans="2:10" x14ac:dyDescent="0.3">
      <c r="B20" s="173" t="str">
        <f>'III. Data Inputs-BE'!B109</f>
        <v>Population 3</v>
      </c>
      <c r="C20" s="175">
        <f>'III. Data Inputs-BE'!$E$82</f>
        <v>0</v>
      </c>
      <c r="D20" s="175">
        <f>'III. Data Inputs-BE'!E179</f>
        <v>0</v>
      </c>
      <c r="E20" s="176">
        <f>'III. Data Inputs-BE'!$D$95</f>
        <v>0</v>
      </c>
      <c r="F20" s="174">
        <f>'III. Data Inputs-BE'!$C$159</f>
        <v>0</v>
      </c>
      <c r="G20" s="174">
        <f>'III. Data Inputs-BE'!$C$109</f>
        <v>0</v>
      </c>
      <c r="H20" s="148">
        <f>C20*D20*E20*'III. Data Inputs-BE'!$G$45*F20*G20*0.68*0.001</f>
        <v>0</v>
      </c>
      <c r="I20" s="149">
        <f t="shared" si="0"/>
        <v>0</v>
      </c>
      <c r="J20" s="13"/>
    </row>
    <row r="21" spans="2:10" x14ac:dyDescent="0.3">
      <c r="B21" s="173" t="str">
        <f>'III. Data Inputs-BE'!B110</f>
        <v>Population 4</v>
      </c>
      <c r="C21" s="175">
        <f>'III. Data Inputs-BE'!$F$82</f>
        <v>0</v>
      </c>
      <c r="D21" s="175">
        <f>'III. Data Inputs-BE'!F179</f>
        <v>0</v>
      </c>
      <c r="E21" s="176">
        <f>'III. Data Inputs-BE'!$D$96</f>
        <v>0</v>
      </c>
      <c r="F21" s="174">
        <f>'III. Data Inputs-BE'!$C$159</f>
        <v>0</v>
      </c>
      <c r="G21" s="174">
        <f>'III. Data Inputs-BE'!$C$110</f>
        <v>0</v>
      </c>
      <c r="H21" s="148">
        <f>C21*D21*E21*'III. Data Inputs-BE'!$G$45*F21*G21*0.68*0.001</f>
        <v>0</v>
      </c>
      <c r="I21" s="149">
        <f t="shared" si="0"/>
        <v>0</v>
      </c>
      <c r="J21" s="13"/>
    </row>
    <row r="22" spans="2:10" x14ac:dyDescent="0.3">
      <c r="B22" s="173" t="str">
        <f>'III. Data Inputs-BE'!B111</f>
        <v>Population 5</v>
      </c>
      <c r="C22" s="175">
        <f>'III. Data Inputs-BE'!$G$82</f>
        <v>0</v>
      </c>
      <c r="D22" s="175">
        <f>'III. Data Inputs-BE'!G179</f>
        <v>0</v>
      </c>
      <c r="E22" s="176">
        <f>'III. Data Inputs-BE'!$D$97</f>
        <v>0</v>
      </c>
      <c r="F22" s="174">
        <f>'III. Data Inputs-BE'!$C$159</f>
        <v>0</v>
      </c>
      <c r="G22" s="174">
        <f>'III. Data Inputs-BE'!$C$111</f>
        <v>0</v>
      </c>
      <c r="H22" s="148">
        <f>C22*D22*E22*'III. Data Inputs-BE'!$G$45*F22*G22*0.68*0.001</f>
        <v>0</v>
      </c>
      <c r="I22" s="149">
        <f t="shared" si="0"/>
        <v>0</v>
      </c>
      <c r="J22" s="13"/>
    </row>
    <row r="23" spans="2:10" x14ac:dyDescent="0.3">
      <c r="B23" s="173" t="str">
        <f>'III. Data Inputs-BE'!B112</f>
        <v>Population 6</v>
      </c>
      <c r="C23" s="175">
        <f>'III. Data Inputs-BE'!$H$82</f>
        <v>0</v>
      </c>
      <c r="D23" s="175">
        <f>'III. Data Inputs-BE'!H179</f>
        <v>0</v>
      </c>
      <c r="E23" s="176">
        <f>'III. Data Inputs-BE'!$D$98</f>
        <v>0</v>
      </c>
      <c r="F23" s="174">
        <f>'III. Data Inputs-BE'!$C$159</f>
        <v>0</v>
      </c>
      <c r="G23" s="174">
        <f>'III. Data Inputs-BE'!$C$112</f>
        <v>0</v>
      </c>
      <c r="H23" s="148">
        <f>C23*D23*E23*'III. Data Inputs-BE'!$G$45*F23*G23*0.68*0.001</f>
        <v>0</v>
      </c>
      <c r="I23" s="149">
        <f t="shared" si="0"/>
        <v>0</v>
      </c>
      <c r="J23" s="13"/>
    </row>
    <row r="24" spans="2:10" x14ac:dyDescent="0.3">
      <c r="B24" s="173" t="str">
        <f>'III. Data Inputs-BE'!B113</f>
        <v>Population 7</v>
      </c>
      <c r="C24" s="175">
        <f>'III. Data Inputs-BE'!$I$82</f>
        <v>0</v>
      </c>
      <c r="D24" s="175">
        <f>'III. Data Inputs-BE'!I179</f>
        <v>0</v>
      </c>
      <c r="E24" s="176">
        <f>'III. Data Inputs-BE'!$D$99</f>
        <v>0</v>
      </c>
      <c r="F24" s="174">
        <f>'III. Data Inputs-BE'!$C$159</f>
        <v>0</v>
      </c>
      <c r="G24" s="174">
        <f>'III. Data Inputs-BE'!$C$113</f>
        <v>0</v>
      </c>
      <c r="H24" s="148">
        <f>C24*D24*E24*'III. Data Inputs-BE'!$G$45*F24*G24*0.68*0.001</f>
        <v>0</v>
      </c>
      <c r="I24" s="149">
        <f t="shared" si="0"/>
        <v>0</v>
      </c>
      <c r="J24" s="13"/>
    </row>
    <row r="25" spans="2:10" x14ac:dyDescent="0.3">
      <c r="B25" s="173" t="str">
        <f>'III. Data Inputs-BE'!B114</f>
        <v>Population 8</v>
      </c>
      <c r="C25" s="175">
        <f>'III. Data Inputs-BE'!$J$82</f>
        <v>0</v>
      </c>
      <c r="D25" s="175">
        <f>'III. Data Inputs-BE'!J179</f>
        <v>0</v>
      </c>
      <c r="E25" s="176">
        <f>'III. Data Inputs-BE'!$D$100</f>
        <v>0</v>
      </c>
      <c r="F25" s="174">
        <f>'III. Data Inputs-BE'!$C$159</f>
        <v>0</v>
      </c>
      <c r="G25" s="174">
        <f>'III. Data Inputs-BE'!$C$114</f>
        <v>0</v>
      </c>
      <c r="H25" s="148">
        <f>C25*D25*E25*'III. Data Inputs-BE'!$G$45*F25*G25*0.68*0.001</f>
        <v>0</v>
      </c>
      <c r="I25" s="149">
        <f t="shared" si="0"/>
        <v>0</v>
      </c>
      <c r="J25" s="13"/>
    </row>
    <row r="26" spans="2:10" x14ac:dyDescent="0.3">
      <c r="B26" s="173" t="str">
        <f>'III. Data Inputs-BE'!B115</f>
        <v>Population 9</v>
      </c>
      <c r="C26" s="175">
        <f>'III. Data Inputs-BE'!$K$82</f>
        <v>0</v>
      </c>
      <c r="D26" s="175">
        <f>'III. Data Inputs-BE'!K179</f>
        <v>0</v>
      </c>
      <c r="E26" s="176">
        <f>'III. Data Inputs-BE'!$D$101</f>
        <v>0</v>
      </c>
      <c r="F26" s="177">
        <f>'III. Data Inputs-BE'!$C$159</f>
        <v>0</v>
      </c>
      <c r="G26" s="174">
        <f>'III. Data Inputs-BE'!$C$115</f>
        <v>0</v>
      </c>
      <c r="H26" s="148">
        <f>C26*D26*E26*'III. Data Inputs-BE'!$G$45*F26*G26*0.68*0.001</f>
        <v>0</v>
      </c>
      <c r="I26" s="149">
        <f t="shared" si="0"/>
        <v>0</v>
      </c>
      <c r="J26" s="13"/>
    </row>
    <row r="27" spans="2:10" ht="13.5" thickBot="1" x14ac:dyDescent="0.35">
      <c r="B27" s="188" t="str">
        <f>'III. Data Inputs-BE'!B116</f>
        <v>Population 10</v>
      </c>
      <c r="C27" s="189">
        <f>'III. Data Inputs-BE'!$L$82</f>
        <v>0</v>
      </c>
      <c r="D27" s="189">
        <f>'III. Data Inputs-BE'!L179</f>
        <v>0</v>
      </c>
      <c r="E27" s="190">
        <f>'III. Data Inputs-BE'!$D$102</f>
        <v>0</v>
      </c>
      <c r="F27" s="191">
        <f>'III. Data Inputs-BE'!$C$159</f>
        <v>0</v>
      </c>
      <c r="G27" s="191">
        <f>'III. Data Inputs-BE'!$C$116</f>
        <v>0</v>
      </c>
      <c r="H27" s="159">
        <f>C27*D27*E27*'III. Data Inputs-BE'!$G$45*F27*G27*0.68*0.001</f>
        <v>0</v>
      </c>
      <c r="I27" s="161">
        <f t="shared" si="0"/>
        <v>0</v>
      </c>
      <c r="J27" s="13"/>
    </row>
    <row r="28" spans="2:10" ht="13.5" thickBot="1" x14ac:dyDescent="0.35">
      <c r="B28" s="182" t="s">
        <v>414</v>
      </c>
      <c r="C28" s="183"/>
      <c r="D28" s="183"/>
      <c r="E28" s="183"/>
      <c r="F28" s="183"/>
      <c r="G28" s="184"/>
      <c r="H28" s="151">
        <f>SUM(H18:H27)</f>
        <v>0</v>
      </c>
      <c r="I28" s="154">
        <f>SUM(I18:I27)</f>
        <v>0</v>
      </c>
      <c r="J28" s="13"/>
    </row>
    <row r="29" spans="2:10" ht="13.5" thickBot="1" x14ac:dyDescent="0.35">
      <c r="H29" s="58"/>
      <c r="I29" s="58"/>
      <c r="J29" s="13"/>
    </row>
    <row r="30" spans="2:10" s="3" customFormat="1" ht="13.5" thickBot="1" x14ac:dyDescent="0.35">
      <c r="B30" s="172">
        <f>'III. Data Inputs-BE'!C122</f>
        <v>0</v>
      </c>
      <c r="H30" s="58"/>
      <c r="I30" s="58"/>
    </row>
    <row r="31" spans="2:10" s="4" customFormat="1" ht="16.5" thickBot="1" x14ac:dyDescent="0.45">
      <c r="B31" s="155" t="s">
        <v>406</v>
      </c>
      <c r="C31" s="162" t="s">
        <v>407</v>
      </c>
      <c r="D31" s="162" t="s">
        <v>408</v>
      </c>
      <c r="E31" s="162" t="s">
        <v>409</v>
      </c>
      <c r="F31" s="162" t="s">
        <v>410</v>
      </c>
      <c r="G31" s="162" t="s">
        <v>411</v>
      </c>
      <c r="H31" s="156" t="s">
        <v>412</v>
      </c>
      <c r="I31" s="163" t="s">
        <v>413</v>
      </c>
    </row>
    <row r="32" spans="2:10" x14ac:dyDescent="0.3">
      <c r="B32" s="185" t="str">
        <f>'III. Data Inputs-BE'!B107</f>
        <v>Population 1</v>
      </c>
      <c r="C32" s="186">
        <f>'III. Data Inputs-BE'!$C$82</f>
        <v>1</v>
      </c>
      <c r="D32" s="192">
        <f>'III. Data Inputs-BE'!C180</f>
        <v>0</v>
      </c>
      <c r="E32" s="187">
        <f>'V. BE CH4,AS'!$C$19</f>
        <v>0</v>
      </c>
      <c r="F32" s="186">
        <f>'III. Data Inputs-BE'!$C$160</f>
        <v>0</v>
      </c>
      <c r="G32" s="186">
        <f>'III. Data Inputs-BE'!$C$107</f>
        <v>0.17</v>
      </c>
      <c r="H32" s="157">
        <f>C32*D32*E32*'III. Data Inputs-BE'!$G$45*F32*G32*0.68*0.001</f>
        <v>0</v>
      </c>
      <c r="I32" s="158">
        <f t="shared" ref="I32:I41" si="1">H32*gwp_ch4</f>
        <v>0</v>
      </c>
      <c r="J32" s="13"/>
    </row>
    <row r="33" spans="2:10" x14ac:dyDescent="0.3">
      <c r="B33" s="178" t="str">
        <f>'III. Data Inputs-BE'!B108</f>
        <v>Population 2</v>
      </c>
      <c r="C33" s="175">
        <f>'III. Data Inputs-BE'!$D$82</f>
        <v>2</v>
      </c>
      <c r="D33" s="179">
        <f>'III. Data Inputs-BE'!D180</f>
        <v>0</v>
      </c>
      <c r="E33" s="176">
        <f>'V. BE CH4,AS'!$C$67</f>
        <v>0</v>
      </c>
      <c r="F33" s="174">
        <f>'III. Data Inputs-BE'!$C$160</f>
        <v>0</v>
      </c>
      <c r="G33" s="174">
        <f>'III. Data Inputs-BE'!$C$108</f>
        <v>0.17</v>
      </c>
      <c r="H33" s="148">
        <f>C33*D33*E33*'III. Data Inputs-BE'!$G$45*F33*G33*0.68*0.001</f>
        <v>0</v>
      </c>
      <c r="I33" s="149">
        <f t="shared" si="1"/>
        <v>0</v>
      </c>
      <c r="J33" s="13"/>
    </row>
    <row r="34" spans="2:10" x14ac:dyDescent="0.3">
      <c r="B34" s="178" t="str">
        <f>'III. Data Inputs-BE'!B109</f>
        <v>Population 3</v>
      </c>
      <c r="C34" s="175">
        <f>'III. Data Inputs-BE'!$E$82</f>
        <v>0</v>
      </c>
      <c r="D34" s="179">
        <f>'III. Data Inputs-BE'!E180</f>
        <v>0</v>
      </c>
      <c r="E34" s="176">
        <f>'III. Data Inputs-BE'!$D$95</f>
        <v>0</v>
      </c>
      <c r="F34" s="174">
        <f>'III. Data Inputs-BE'!$C$160</f>
        <v>0</v>
      </c>
      <c r="G34" s="174">
        <f>'III. Data Inputs-BE'!$C$109</f>
        <v>0</v>
      </c>
      <c r="H34" s="148">
        <f>C34*D34*E34*'III. Data Inputs-BE'!$G$45*F34*G34*0.68*0.001</f>
        <v>0</v>
      </c>
      <c r="I34" s="149">
        <f t="shared" si="1"/>
        <v>0</v>
      </c>
      <c r="J34" s="13"/>
    </row>
    <row r="35" spans="2:10" x14ac:dyDescent="0.3">
      <c r="B35" s="178" t="str">
        <f>'III. Data Inputs-BE'!B110</f>
        <v>Population 4</v>
      </c>
      <c r="C35" s="175">
        <f>'III. Data Inputs-BE'!$F$82</f>
        <v>0</v>
      </c>
      <c r="D35" s="179">
        <f>'III. Data Inputs-BE'!F180</f>
        <v>0</v>
      </c>
      <c r="E35" s="176">
        <f>'III. Data Inputs-BE'!$D$96</f>
        <v>0</v>
      </c>
      <c r="F35" s="174">
        <f>'III. Data Inputs-BE'!$C$160</f>
        <v>0</v>
      </c>
      <c r="G35" s="174">
        <f>'III. Data Inputs-BE'!$C$110</f>
        <v>0</v>
      </c>
      <c r="H35" s="148">
        <f>C35*D35*E35*'III. Data Inputs-BE'!$G$45*F35*G35*0.68*0.001</f>
        <v>0</v>
      </c>
      <c r="I35" s="149">
        <f t="shared" si="1"/>
        <v>0</v>
      </c>
      <c r="J35" s="13"/>
    </row>
    <row r="36" spans="2:10" x14ac:dyDescent="0.3">
      <c r="B36" s="178" t="str">
        <f>'III. Data Inputs-BE'!B111</f>
        <v>Population 5</v>
      </c>
      <c r="C36" s="175">
        <f>'III. Data Inputs-BE'!$G$82</f>
        <v>0</v>
      </c>
      <c r="D36" s="179">
        <f>'III. Data Inputs-BE'!G180</f>
        <v>0</v>
      </c>
      <c r="E36" s="176">
        <f>'III. Data Inputs-BE'!$D$97</f>
        <v>0</v>
      </c>
      <c r="F36" s="174">
        <f>'III. Data Inputs-BE'!$C$160</f>
        <v>0</v>
      </c>
      <c r="G36" s="174">
        <f>'III. Data Inputs-BE'!$C$111</f>
        <v>0</v>
      </c>
      <c r="H36" s="148">
        <f>C36*D36*E36*'III. Data Inputs-BE'!$G$45*F36*G36*0.68*0.001</f>
        <v>0</v>
      </c>
      <c r="I36" s="149">
        <f t="shared" si="1"/>
        <v>0</v>
      </c>
      <c r="J36" s="13"/>
    </row>
    <row r="37" spans="2:10" x14ac:dyDescent="0.3">
      <c r="B37" s="178" t="str">
        <f>'III. Data Inputs-BE'!B112</f>
        <v>Population 6</v>
      </c>
      <c r="C37" s="175">
        <f>'III. Data Inputs-BE'!$H$82</f>
        <v>0</v>
      </c>
      <c r="D37" s="179">
        <f>'III. Data Inputs-BE'!H180</f>
        <v>0</v>
      </c>
      <c r="E37" s="176">
        <f>'III. Data Inputs-BE'!$D$98</f>
        <v>0</v>
      </c>
      <c r="F37" s="174">
        <f>'III. Data Inputs-BE'!$C$160</f>
        <v>0</v>
      </c>
      <c r="G37" s="174">
        <f>'III. Data Inputs-BE'!$C$112</f>
        <v>0</v>
      </c>
      <c r="H37" s="148">
        <f>C37*D37*E37*'III. Data Inputs-BE'!$G$45*F37*G37*0.68*0.001</f>
        <v>0</v>
      </c>
      <c r="I37" s="149">
        <f t="shared" si="1"/>
        <v>0</v>
      </c>
      <c r="J37" s="13"/>
    </row>
    <row r="38" spans="2:10" x14ac:dyDescent="0.3">
      <c r="B38" s="178" t="str">
        <f>'III. Data Inputs-BE'!B113</f>
        <v>Population 7</v>
      </c>
      <c r="C38" s="175">
        <f>'III. Data Inputs-BE'!$I$82</f>
        <v>0</v>
      </c>
      <c r="D38" s="179">
        <f>'III. Data Inputs-BE'!I180</f>
        <v>0</v>
      </c>
      <c r="E38" s="176">
        <f>'III. Data Inputs-BE'!$D$99</f>
        <v>0</v>
      </c>
      <c r="F38" s="174">
        <f>'III. Data Inputs-BE'!$C$160</f>
        <v>0</v>
      </c>
      <c r="G38" s="174">
        <f>'III. Data Inputs-BE'!$C$113</f>
        <v>0</v>
      </c>
      <c r="H38" s="148">
        <f>C38*D38*E38*'III. Data Inputs-BE'!$G$45*F38*G38*0.68*0.001</f>
        <v>0</v>
      </c>
      <c r="I38" s="149">
        <f t="shared" si="1"/>
        <v>0</v>
      </c>
      <c r="J38" s="13"/>
    </row>
    <row r="39" spans="2:10" x14ac:dyDescent="0.3">
      <c r="B39" s="178" t="str">
        <f>'III. Data Inputs-BE'!B114</f>
        <v>Population 8</v>
      </c>
      <c r="C39" s="175">
        <f>'III. Data Inputs-BE'!$J$82</f>
        <v>0</v>
      </c>
      <c r="D39" s="179">
        <f>'III. Data Inputs-BE'!J180</f>
        <v>0</v>
      </c>
      <c r="E39" s="176">
        <f>'III. Data Inputs-BE'!$D$100</f>
        <v>0</v>
      </c>
      <c r="F39" s="174">
        <f>'III. Data Inputs-BE'!$C$160</f>
        <v>0</v>
      </c>
      <c r="G39" s="174">
        <f>'III. Data Inputs-BE'!$C$114</f>
        <v>0</v>
      </c>
      <c r="H39" s="148">
        <f>C39*D39*E39*'III. Data Inputs-BE'!$G$45*F39*G39*0.68*0.001</f>
        <v>0</v>
      </c>
      <c r="I39" s="149">
        <f t="shared" si="1"/>
        <v>0</v>
      </c>
      <c r="J39" s="13"/>
    </row>
    <row r="40" spans="2:10" x14ac:dyDescent="0.3">
      <c r="B40" s="178" t="str">
        <f>'III. Data Inputs-BE'!B115</f>
        <v>Population 9</v>
      </c>
      <c r="C40" s="175">
        <f>'III. Data Inputs-BE'!$K$82</f>
        <v>0</v>
      </c>
      <c r="D40" s="179">
        <f>'III. Data Inputs-BE'!K180</f>
        <v>0</v>
      </c>
      <c r="E40" s="176">
        <f>'III. Data Inputs-BE'!$D$101</f>
        <v>0</v>
      </c>
      <c r="F40" s="174">
        <f>'III. Data Inputs-BE'!$C$160</f>
        <v>0</v>
      </c>
      <c r="G40" s="174">
        <f>'III. Data Inputs-BE'!$C$115</f>
        <v>0</v>
      </c>
      <c r="H40" s="148">
        <f>C40*D40*E40*'III. Data Inputs-BE'!$G$45*F40*G40*0.68*0.001</f>
        <v>0</v>
      </c>
      <c r="I40" s="149">
        <f t="shared" si="1"/>
        <v>0</v>
      </c>
      <c r="J40" s="13"/>
    </row>
    <row r="41" spans="2:10" ht="13.5" thickBot="1" x14ac:dyDescent="0.35">
      <c r="B41" s="193" t="str">
        <f>'III. Data Inputs-BE'!B116</f>
        <v>Population 10</v>
      </c>
      <c r="C41" s="189">
        <f>'III. Data Inputs-BE'!$L$82</f>
        <v>0</v>
      </c>
      <c r="D41" s="194">
        <f>'III. Data Inputs-BE'!L180</f>
        <v>0</v>
      </c>
      <c r="E41" s="190">
        <f>'III. Data Inputs-BE'!$D$102</f>
        <v>0</v>
      </c>
      <c r="F41" s="191">
        <f>'III. Data Inputs-BE'!$C$160</f>
        <v>0</v>
      </c>
      <c r="G41" s="191">
        <f>'III. Data Inputs-BE'!$C$116</f>
        <v>0</v>
      </c>
      <c r="H41" s="159">
        <f>C41*D41*E41*'III. Data Inputs-BE'!$G$45*F41*G41*0.68*0.001</f>
        <v>0</v>
      </c>
      <c r="I41" s="161">
        <f t="shared" si="1"/>
        <v>0</v>
      </c>
      <c r="J41" s="13"/>
    </row>
    <row r="42" spans="2:10" ht="13.5" thickBot="1" x14ac:dyDescent="0.35">
      <c r="B42" s="182" t="s">
        <v>414</v>
      </c>
      <c r="C42" s="183"/>
      <c r="D42" s="183"/>
      <c r="E42" s="183"/>
      <c r="F42" s="183"/>
      <c r="G42" s="184"/>
      <c r="H42" s="151">
        <f>SUM(H32:H41)</f>
        <v>0</v>
      </c>
      <c r="I42" s="154">
        <f>SUM(I32:I41)</f>
        <v>0</v>
      </c>
      <c r="J42" s="13"/>
    </row>
    <row r="43" spans="2:10" ht="13.5" thickBot="1" x14ac:dyDescent="0.35">
      <c r="H43" s="58"/>
      <c r="I43" s="58"/>
      <c r="J43" s="13"/>
    </row>
    <row r="44" spans="2:10" ht="13.5" thickBot="1" x14ac:dyDescent="0.35">
      <c r="B44" s="172">
        <f>'III. Data Inputs-BE'!C123</f>
        <v>0</v>
      </c>
      <c r="H44" s="41"/>
      <c r="J44" s="13"/>
    </row>
    <row r="45" spans="2:10" s="4" customFormat="1" ht="16.5" thickBot="1" x14ac:dyDescent="0.45">
      <c r="B45" s="155" t="s">
        <v>406</v>
      </c>
      <c r="C45" s="162" t="s">
        <v>407</v>
      </c>
      <c r="D45" s="162" t="s">
        <v>408</v>
      </c>
      <c r="E45" s="162" t="s">
        <v>409</v>
      </c>
      <c r="F45" s="162" t="s">
        <v>410</v>
      </c>
      <c r="G45" s="162" t="s">
        <v>411</v>
      </c>
      <c r="H45" s="156" t="s">
        <v>412</v>
      </c>
      <c r="I45" s="163" t="s">
        <v>413</v>
      </c>
    </row>
    <row r="46" spans="2:10" x14ac:dyDescent="0.3">
      <c r="B46" s="185" t="str">
        <f>'III. Data Inputs-BE'!B107</f>
        <v>Population 1</v>
      </c>
      <c r="C46" s="186">
        <f>'III. Data Inputs-BE'!$C$82</f>
        <v>1</v>
      </c>
      <c r="D46" s="186">
        <f>'III. Data Inputs-BE'!C181</f>
        <v>0</v>
      </c>
      <c r="E46" s="187">
        <f>'V. BE CH4,AS'!$C$19</f>
        <v>0</v>
      </c>
      <c r="F46" s="186">
        <f>'III. Data Inputs-BE'!$C$161</f>
        <v>0</v>
      </c>
      <c r="G46" s="186">
        <f>'III. Data Inputs-BE'!$C$107</f>
        <v>0.17</v>
      </c>
      <c r="H46" s="157">
        <f>C46*D46*E46*'III. Data Inputs-BE'!$G$45*F46*G46*0.68*0.001</f>
        <v>0</v>
      </c>
      <c r="I46" s="158">
        <f t="shared" ref="I46:I55" si="2">H46*gwp_ch4</f>
        <v>0</v>
      </c>
      <c r="J46" s="13"/>
    </row>
    <row r="47" spans="2:10" x14ac:dyDescent="0.3">
      <c r="B47" s="178" t="str">
        <f>'III. Data Inputs-BE'!B108</f>
        <v>Population 2</v>
      </c>
      <c r="C47" s="175">
        <f>'III. Data Inputs-BE'!$D$82</f>
        <v>2</v>
      </c>
      <c r="D47" s="175">
        <f>'III. Data Inputs-BE'!D181</f>
        <v>0</v>
      </c>
      <c r="E47" s="176">
        <f>'V. BE CH4,AS'!$C$67</f>
        <v>0</v>
      </c>
      <c r="F47" s="175">
        <f>'III. Data Inputs-BE'!$C$161</f>
        <v>0</v>
      </c>
      <c r="G47" s="174">
        <f>'III. Data Inputs-BE'!$C$108</f>
        <v>0.17</v>
      </c>
      <c r="H47" s="148">
        <f>C47*D47*E47*'III. Data Inputs-BE'!$G$45*F47*G47*0.68*0.001</f>
        <v>0</v>
      </c>
      <c r="I47" s="149">
        <f t="shared" si="2"/>
        <v>0</v>
      </c>
      <c r="J47" s="13"/>
    </row>
    <row r="48" spans="2:10" x14ac:dyDescent="0.3">
      <c r="B48" s="178" t="str">
        <f>'III. Data Inputs-BE'!B109</f>
        <v>Population 3</v>
      </c>
      <c r="C48" s="175">
        <f>'III. Data Inputs-BE'!$E$82</f>
        <v>0</v>
      </c>
      <c r="D48" s="175">
        <f>'III. Data Inputs-BE'!E181</f>
        <v>0</v>
      </c>
      <c r="E48" s="176">
        <f>'III. Data Inputs-BE'!$D$95</f>
        <v>0</v>
      </c>
      <c r="F48" s="175">
        <f>'III. Data Inputs-BE'!$C$161</f>
        <v>0</v>
      </c>
      <c r="G48" s="174">
        <f>'III. Data Inputs-BE'!$C$109</f>
        <v>0</v>
      </c>
      <c r="H48" s="148">
        <f>C48*D48*E48*'III. Data Inputs-BE'!$G$45*F48*G48*0.68*0.001</f>
        <v>0</v>
      </c>
      <c r="I48" s="149">
        <f t="shared" si="2"/>
        <v>0</v>
      </c>
      <c r="J48" s="13"/>
    </row>
    <row r="49" spans="2:10" x14ac:dyDescent="0.3">
      <c r="B49" s="178" t="str">
        <f>'III. Data Inputs-BE'!B110</f>
        <v>Population 4</v>
      </c>
      <c r="C49" s="175">
        <f>'III. Data Inputs-BE'!$F$82</f>
        <v>0</v>
      </c>
      <c r="D49" s="175">
        <f>'III. Data Inputs-BE'!F181</f>
        <v>0</v>
      </c>
      <c r="E49" s="176">
        <f>'III. Data Inputs-BE'!$D$96</f>
        <v>0</v>
      </c>
      <c r="F49" s="175">
        <f>'III. Data Inputs-BE'!$C$161</f>
        <v>0</v>
      </c>
      <c r="G49" s="174">
        <f>'III. Data Inputs-BE'!$C$110</f>
        <v>0</v>
      </c>
      <c r="H49" s="148">
        <f>C49*D49*E49*'III. Data Inputs-BE'!$G$45*F49*G49*0.68*0.001</f>
        <v>0</v>
      </c>
      <c r="I49" s="149">
        <f t="shared" si="2"/>
        <v>0</v>
      </c>
      <c r="J49" s="13"/>
    </row>
    <row r="50" spans="2:10" x14ac:dyDescent="0.3">
      <c r="B50" s="178" t="str">
        <f>'III. Data Inputs-BE'!B111</f>
        <v>Population 5</v>
      </c>
      <c r="C50" s="175">
        <f>'III. Data Inputs-BE'!$G$82</f>
        <v>0</v>
      </c>
      <c r="D50" s="175">
        <f>'III. Data Inputs-BE'!G181</f>
        <v>0</v>
      </c>
      <c r="E50" s="176">
        <f>'III. Data Inputs-BE'!$D$97</f>
        <v>0</v>
      </c>
      <c r="F50" s="175">
        <f>'III. Data Inputs-BE'!$C$161</f>
        <v>0</v>
      </c>
      <c r="G50" s="174">
        <f>'III. Data Inputs-BE'!$C$111</f>
        <v>0</v>
      </c>
      <c r="H50" s="148">
        <f>C50*D50*E50*'III. Data Inputs-BE'!$G$45*F50*G50*0.68*0.001</f>
        <v>0</v>
      </c>
      <c r="I50" s="149">
        <f t="shared" si="2"/>
        <v>0</v>
      </c>
      <c r="J50" s="13"/>
    </row>
    <row r="51" spans="2:10" x14ac:dyDescent="0.3">
      <c r="B51" s="178" t="str">
        <f>'III. Data Inputs-BE'!B112</f>
        <v>Population 6</v>
      </c>
      <c r="C51" s="175">
        <f>'III. Data Inputs-BE'!$H$82</f>
        <v>0</v>
      </c>
      <c r="D51" s="175">
        <f>'III. Data Inputs-BE'!H181</f>
        <v>0</v>
      </c>
      <c r="E51" s="176">
        <f>'III. Data Inputs-BE'!$D$98</f>
        <v>0</v>
      </c>
      <c r="F51" s="175">
        <f>'III. Data Inputs-BE'!$C$161</f>
        <v>0</v>
      </c>
      <c r="G51" s="177">
        <f>'III. Data Inputs-BE'!$C$112</f>
        <v>0</v>
      </c>
      <c r="H51" s="148">
        <f>C51*D51*E51*'III. Data Inputs-BE'!$G$45*F51*G51*0.68*0.001</f>
        <v>0</v>
      </c>
      <c r="I51" s="149">
        <f t="shared" si="2"/>
        <v>0</v>
      </c>
      <c r="J51" s="13"/>
    </row>
    <row r="52" spans="2:10" x14ac:dyDescent="0.3">
      <c r="B52" s="178" t="str">
        <f>'III. Data Inputs-BE'!B113</f>
        <v>Population 7</v>
      </c>
      <c r="C52" s="175">
        <f>'III. Data Inputs-BE'!$I$82</f>
        <v>0</v>
      </c>
      <c r="D52" s="175">
        <f>'III. Data Inputs-BE'!I181</f>
        <v>0</v>
      </c>
      <c r="E52" s="176">
        <f>'III. Data Inputs-BE'!$D$99</f>
        <v>0</v>
      </c>
      <c r="F52" s="175">
        <f>'III. Data Inputs-BE'!$C$161</f>
        <v>0</v>
      </c>
      <c r="G52" s="174">
        <f>'III. Data Inputs-BE'!$C$113</f>
        <v>0</v>
      </c>
      <c r="H52" s="148">
        <f>C52*D52*E52*'III. Data Inputs-BE'!$G$45*F52*G52*0.68*0.001</f>
        <v>0</v>
      </c>
      <c r="I52" s="149">
        <f t="shared" si="2"/>
        <v>0</v>
      </c>
      <c r="J52" s="13"/>
    </row>
    <row r="53" spans="2:10" x14ac:dyDescent="0.3">
      <c r="B53" s="178" t="str">
        <f>'III. Data Inputs-BE'!B114</f>
        <v>Population 8</v>
      </c>
      <c r="C53" s="175">
        <f>'III. Data Inputs-BE'!$J$82</f>
        <v>0</v>
      </c>
      <c r="D53" s="175">
        <f>'III. Data Inputs-BE'!J181</f>
        <v>0</v>
      </c>
      <c r="E53" s="176">
        <f>'III. Data Inputs-BE'!$D$100</f>
        <v>0</v>
      </c>
      <c r="F53" s="175">
        <f>'III. Data Inputs-BE'!$C$161</f>
        <v>0</v>
      </c>
      <c r="G53" s="174">
        <f>'III. Data Inputs-BE'!$C$114</f>
        <v>0</v>
      </c>
      <c r="H53" s="148">
        <f>C53*D53*E53*'III. Data Inputs-BE'!$G$45*F53*G53*0.68*0.001</f>
        <v>0</v>
      </c>
      <c r="I53" s="149">
        <f t="shared" si="2"/>
        <v>0</v>
      </c>
      <c r="J53" s="13"/>
    </row>
    <row r="54" spans="2:10" x14ac:dyDescent="0.3">
      <c r="B54" s="178" t="str">
        <f>'III. Data Inputs-BE'!B115</f>
        <v>Population 9</v>
      </c>
      <c r="C54" s="175">
        <f>'III. Data Inputs-BE'!$K$82</f>
        <v>0</v>
      </c>
      <c r="D54" s="175">
        <f>'III. Data Inputs-BE'!K181</f>
        <v>0</v>
      </c>
      <c r="E54" s="176">
        <f>'III. Data Inputs-BE'!$D$101</f>
        <v>0</v>
      </c>
      <c r="F54" s="175">
        <f>'III. Data Inputs-BE'!$C$161</f>
        <v>0</v>
      </c>
      <c r="G54" s="174">
        <f>'III. Data Inputs-BE'!$C$115</f>
        <v>0</v>
      </c>
      <c r="H54" s="148">
        <f>C54*D54*E54*'III. Data Inputs-BE'!$G$45*F54*G54*0.68*0.001</f>
        <v>0</v>
      </c>
      <c r="I54" s="149">
        <f t="shared" si="2"/>
        <v>0</v>
      </c>
      <c r="J54" s="13"/>
    </row>
    <row r="55" spans="2:10" ht="13.5" thickBot="1" x14ac:dyDescent="0.35">
      <c r="B55" s="193" t="str">
        <f>'III. Data Inputs-BE'!B116</f>
        <v>Population 10</v>
      </c>
      <c r="C55" s="189">
        <f>'III. Data Inputs-BE'!$L$82</f>
        <v>0</v>
      </c>
      <c r="D55" s="189">
        <f>'III. Data Inputs-BE'!L181</f>
        <v>0</v>
      </c>
      <c r="E55" s="190">
        <f>'III. Data Inputs-BE'!$D$102</f>
        <v>0</v>
      </c>
      <c r="F55" s="189">
        <f>'III. Data Inputs-BE'!$C$161</f>
        <v>0</v>
      </c>
      <c r="G55" s="191">
        <f>'III. Data Inputs-BE'!$C$116</f>
        <v>0</v>
      </c>
      <c r="H55" s="159">
        <f>C55*D55*E55*'III. Data Inputs-BE'!$G$45*F55*G55*0.68*0.001</f>
        <v>0</v>
      </c>
      <c r="I55" s="161">
        <f t="shared" si="2"/>
        <v>0</v>
      </c>
      <c r="J55" s="13"/>
    </row>
    <row r="56" spans="2:10" ht="13.5" thickBot="1" x14ac:dyDescent="0.35">
      <c r="B56" s="182" t="s">
        <v>414</v>
      </c>
      <c r="C56" s="183"/>
      <c r="D56" s="183"/>
      <c r="E56" s="183"/>
      <c r="F56" s="183"/>
      <c r="G56" s="184"/>
      <c r="H56" s="151">
        <f>SUM(H46:H55)</f>
        <v>0</v>
      </c>
      <c r="I56" s="154">
        <f>SUM(I46:I55)</f>
        <v>0</v>
      </c>
      <c r="J56" s="13"/>
    </row>
    <row r="57" spans="2:10" ht="13.5" thickBot="1" x14ac:dyDescent="0.35">
      <c r="I57" s="58"/>
      <c r="J57" s="13"/>
    </row>
    <row r="58" spans="2:10" ht="13.5" thickBot="1" x14ac:dyDescent="0.35">
      <c r="B58" s="172">
        <f>'III. Data Inputs-BE'!C124</f>
        <v>0</v>
      </c>
      <c r="J58" s="13"/>
    </row>
    <row r="59" spans="2:10" s="4" customFormat="1" ht="16.5" thickBot="1" x14ac:dyDescent="0.45">
      <c r="B59" s="155" t="s">
        <v>406</v>
      </c>
      <c r="C59" s="162" t="s">
        <v>407</v>
      </c>
      <c r="D59" s="162" t="s">
        <v>408</v>
      </c>
      <c r="E59" s="162" t="s">
        <v>409</v>
      </c>
      <c r="F59" s="162" t="s">
        <v>410</v>
      </c>
      <c r="G59" s="162" t="s">
        <v>411</v>
      </c>
      <c r="H59" s="156" t="s">
        <v>412</v>
      </c>
      <c r="I59" s="163" t="s">
        <v>413</v>
      </c>
    </row>
    <row r="60" spans="2:10" x14ac:dyDescent="0.3">
      <c r="B60" s="185" t="str">
        <f>'III. Data Inputs-BE'!B107</f>
        <v>Population 1</v>
      </c>
      <c r="C60" s="186">
        <f>'III. Data Inputs-BE'!$C$82</f>
        <v>1</v>
      </c>
      <c r="D60" s="186">
        <f>'III. Data Inputs-BE'!C182</f>
        <v>0</v>
      </c>
      <c r="E60" s="187">
        <f>'V. BE CH4,AS'!$C$19</f>
        <v>0</v>
      </c>
      <c r="F60" s="186">
        <f>'III. Data Inputs-BE'!$C$162</f>
        <v>0</v>
      </c>
      <c r="G60" s="186">
        <f>'III. Data Inputs-BE'!$C$107</f>
        <v>0.17</v>
      </c>
      <c r="H60" s="157">
        <f>C60*D60*E60*'III. Data Inputs-BE'!$G$45*F60*G60*0.68*0.001</f>
        <v>0</v>
      </c>
      <c r="I60" s="158">
        <f t="shared" ref="I60:I69" si="3">H60*gwp_ch4</f>
        <v>0</v>
      </c>
      <c r="J60" s="13"/>
    </row>
    <row r="61" spans="2:10" x14ac:dyDescent="0.3">
      <c r="B61" s="178" t="str">
        <f>'III. Data Inputs-BE'!B108</f>
        <v>Population 2</v>
      </c>
      <c r="C61" s="175">
        <f>'III. Data Inputs-BE'!$D$82</f>
        <v>2</v>
      </c>
      <c r="D61" s="175">
        <f>'III. Data Inputs-BE'!D182</f>
        <v>0</v>
      </c>
      <c r="E61" s="176">
        <f>'V. BE CH4,AS'!$C$67</f>
        <v>0</v>
      </c>
      <c r="F61" s="174">
        <f>'III. Data Inputs-BE'!$C$162</f>
        <v>0</v>
      </c>
      <c r="G61" s="174">
        <f>'III. Data Inputs-BE'!$C$108</f>
        <v>0.17</v>
      </c>
      <c r="H61" s="148">
        <f>C61*D61*E61*'III. Data Inputs-BE'!$G$45*F61*G61*0.68*0.001</f>
        <v>0</v>
      </c>
      <c r="I61" s="149">
        <f t="shared" si="3"/>
        <v>0</v>
      </c>
      <c r="J61" s="13"/>
    </row>
    <row r="62" spans="2:10" x14ac:dyDescent="0.3">
      <c r="B62" s="178" t="str">
        <f>'III. Data Inputs-BE'!B109</f>
        <v>Population 3</v>
      </c>
      <c r="C62" s="175">
        <f>'III. Data Inputs-BE'!$E$82</f>
        <v>0</v>
      </c>
      <c r="D62" s="175">
        <f>'III. Data Inputs-BE'!E182</f>
        <v>0</v>
      </c>
      <c r="E62" s="176">
        <f>'III. Data Inputs-BE'!$D$95</f>
        <v>0</v>
      </c>
      <c r="F62" s="174">
        <f>'III. Data Inputs-BE'!$C$162</f>
        <v>0</v>
      </c>
      <c r="G62" s="174">
        <f>'III. Data Inputs-BE'!$C$109</f>
        <v>0</v>
      </c>
      <c r="H62" s="148">
        <f>C62*D62*E62*'III. Data Inputs-BE'!$G$45*F62*G62*0.68*0.001</f>
        <v>0</v>
      </c>
      <c r="I62" s="149">
        <f t="shared" si="3"/>
        <v>0</v>
      </c>
      <c r="J62" s="13"/>
    </row>
    <row r="63" spans="2:10" x14ac:dyDescent="0.3">
      <c r="B63" s="178" t="str">
        <f>'III. Data Inputs-BE'!B110</f>
        <v>Population 4</v>
      </c>
      <c r="C63" s="175">
        <f>'III. Data Inputs-BE'!$F$82</f>
        <v>0</v>
      </c>
      <c r="D63" s="175">
        <f>'III. Data Inputs-BE'!F182</f>
        <v>0</v>
      </c>
      <c r="E63" s="176">
        <f>'III. Data Inputs-BE'!$D$96</f>
        <v>0</v>
      </c>
      <c r="F63" s="174">
        <f>'III. Data Inputs-BE'!$C$162</f>
        <v>0</v>
      </c>
      <c r="G63" s="174">
        <f>'III. Data Inputs-BE'!$C$110</f>
        <v>0</v>
      </c>
      <c r="H63" s="148">
        <f>C63*D63*E63*'III. Data Inputs-BE'!$G$45*F63*G63*0.68*0.001</f>
        <v>0</v>
      </c>
      <c r="I63" s="149">
        <f t="shared" si="3"/>
        <v>0</v>
      </c>
      <c r="J63" s="13"/>
    </row>
    <row r="64" spans="2:10" x14ac:dyDescent="0.3">
      <c r="B64" s="178" t="str">
        <f>'III. Data Inputs-BE'!B111</f>
        <v>Population 5</v>
      </c>
      <c r="C64" s="175">
        <f>'III. Data Inputs-BE'!$G$82</f>
        <v>0</v>
      </c>
      <c r="D64" s="175">
        <f>'III. Data Inputs-BE'!G182</f>
        <v>0</v>
      </c>
      <c r="E64" s="176">
        <f>'III. Data Inputs-BE'!$D$97</f>
        <v>0</v>
      </c>
      <c r="F64" s="174">
        <f>'III. Data Inputs-BE'!$C$162</f>
        <v>0</v>
      </c>
      <c r="G64" s="174">
        <f>'III. Data Inputs-BE'!$C$111</f>
        <v>0</v>
      </c>
      <c r="H64" s="148">
        <f>C64*D64*E64*'III. Data Inputs-BE'!$G$45*F64*G64*0.68*0.001</f>
        <v>0</v>
      </c>
      <c r="I64" s="149">
        <f t="shared" si="3"/>
        <v>0</v>
      </c>
      <c r="J64" s="13"/>
    </row>
    <row r="65" spans="2:10" x14ac:dyDescent="0.3">
      <c r="B65" s="178" t="str">
        <f>'III. Data Inputs-BE'!B112</f>
        <v>Population 6</v>
      </c>
      <c r="C65" s="175">
        <f>'III. Data Inputs-BE'!$H$82</f>
        <v>0</v>
      </c>
      <c r="D65" s="175">
        <f>'III. Data Inputs-BE'!H182</f>
        <v>0</v>
      </c>
      <c r="E65" s="176">
        <f>'III. Data Inputs-BE'!$D$98</f>
        <v>0</v>
      </c>
      <c r="F65" s="174">
        <f>'III. Data Inputs-BE'!$C$162</f>
        <v>0</v>
      </c>
      <c r="G65" s="174">
        <f>'III. Data Inputs-BE'!$C$112</f>
        <v>0</v>
      </c>
      <c r="H65" s="148">
        <f>C65*D65*E65*'III. Data Inputs-BE'!$G$45*F65*G65*0.68*0.001</f>
        <v>0</v>
      </c>
      <c r="I65" s="149">
        <f t="shared" si="3"/>
        <v>0</v>
      </c>
      <c r="J65" s="13"/>
    </row>
    <row r="66" spans="2:10" x14ac:dyDescent="0.3">
      <c r="B66" s="178" t="str">
        <f>'III. Data Inputs-BE'!B113</f>
        <v>Population 7</v>
      </c>
      <c r="C66" s="175">
        <f>'III. Data Inputs-BE'!$I$82</f>
        <v>0</v>
      </c>
      <c r="D66" s="175">
        <f>'III. Data Inputs-BE'!I182</f>
        <v>0</v>
      </c>
      <c r="E66" s="176">
        <f>'III. Data Inputs-BE'!$D$99</f>
        <v>0</v>
      </c>
      <c r="F66" s="174">
        <f>'III. Data Inputs-BE'!$C$162</f>
        <v>0</v>
      </c>
      <c r="G66" s="174">
        <f>'III. Data Inputs-BE'!$C$113</f>
        <v>0</v>
      </c>
      <c r="H66" s="148">
        <f>C66*D66*E66*'III. Data Inputs-BE'!$G$45*F66*G66*0.68*0.001</f>
        <v>0</v>
      </c>
      <c r="I66" s="149">
        <f t="shared" si="3"/>
        <v>0</v>
      </c>
      <c r="J66" s="13"/>
    </row>
    <row r="67" spans="2:10" x14ac:dyDescent="0.3">
      <c r="B67" s="178" t="str">
        <f>'III. Data Inputs-BE'!B114</f>
        <v>Population 8</v>
      </c>
      <c r="C67" s="175">
        <f>'III. Data Inputs-BE'!$J$82</f>
        <v>0</v>
      </c>
      <c r="D67" s="175">
        <f>'III. Data Inputs-BE'!J182</f>
        <v>0</v>
      </c>
      <c r="E67" s="176">
        <f>'III. Data Inputs-BE'!$D$100</f>
        <v>0</v>
      </c>
      <c r="F67" s="174">
        <f>'III. Data Inputs-BE'!$C$162</f>
        <v>0</v>
      </c>
      <c r="G67" s="174">
        <f>'III. Data Inputs-BE'!$C$114</f>
        <v>0</v>
      </c>
      <c r="H67" s="148">
        <f>C67*D67*E67*'III. Data Inputs-BE'!$G$45*F67*G67*0.68*0.001</f>
        <v>0</v>
      </c>
      <c r="I67" s="149">
        <f t="shared" si="3"/>
        <v>0</v>
      </c>
      <c r="J67" s="13"/>
    </row>
    <row r="68" spans="2:10" x14ac:dyDescent="0.3">
      <c r="B68" s="178" t="str">
        <f>'III. Data Inputs-BE'!B115</f>
        <v>Population 9</v>
      </c>
      <c r="C68" s="175">
        <f>'III. Data Inputs-BE'!$K$82</f>
        <v>0</v>
      </c>
      <c r="D68" s="175">
        <f>'III. Data Inputs-BE'!K182</f>
        <v>0</v>
      </c>
      <c r="E68" s="176">
        <f>'III. Data Inputs-BE'!$D$101</f>
        <v>0</v>
      </c>
      <c r="F68" s="174">
        <f>'III. Data Inputs-BE'!$C$162</f>
        <v>0</v>
      </c>
      <c r="G68" s="174">
        <f>'III. Data Inputs-BE'!$C$115</f>
        <v>0</v>
      </c>
      <c r="H68" s="148">
        <f>C68*D68*E68*'III. Data Inputs-BE'!$G$45*F68*G68*0.68*0.001</f>
        <v>0</v>
      </c>
      <c r="I68" s="149">
        <f t="shared" si="3"/>
        <v>0</v>
      </c>
      <c r="J68" s="13"/>
    </row>
    <row r="69" spans="2:10" ht="13.5" thickBot="1" x14ac:dyDescent="0.35">
      <c r="B69" s="193" t="str">
        <f>'III. Data Inputs-BE'!B116</f>
        <v>Population 10</v>
      </c>
      <c r="C69" s="189">
        <f>'III. Data Inputs-BE'!$L$82</f>
        <v>0</v>
      </c>
      <c r="D69" s="189">
        <f>'III. Data Inputs-BE'!L182</f>
        <v>0</v>
      </c>
      <c r="E69" s="190">
        <f>'III. Data Inputs-BE'!$D$102</f>
        <v>0</v>
      </c>
      <c r="F69" s="191">
        <f>'III. Data Inputs-BE'!$C$162</f>
        <v>0</v>
      </c>
      <c r="G69" s="191">
        <f>'III. Data Inputs-BE'!$C$116</f>
        <v>0</v>
      </c>
      <c r="H69" s="159">
        <f>C69*D69*E69*'III. Data Inputs-BE'!$G$45*F69*G69*0.68*0.001</f>
        <v>0</v>
      </c>
      <c r="I69" s="161">
        <f t="shared" si="3"/>
        <v>0</v>
      </c>
      <c r="J69" s="13"/>
    </row>
    <row r="70" spans="2:10" ht="13.5" thickBot="1" x14ac:dyDescent="0.35">
      <c r="B70" s="182" t="s">
        <v>414</v>
      </c>
      <c r="C70" s="183"/>
      <c r="D70" s="183"/>
      <c r="E70" s="183"/>
      <c r="F70" s="183"/>
      <c r="G70" s="184"/>
      <c r="H70" s="151">
        <f>SUM(H60:H69)</f>
        <v>0</v>
      </c>
      <c r="I70" s="154">
        <f>SUM(I60:I69)</f>
        <v>0</v>
      </c>
      <c r="J70" s="13"/>
    </row>
    <row r="71" spans="2:10" ht="13.5" thickBot="1" x14ac:dyDescent="0.35">
      <c r="H71" s="58"/>
      <c r="I71" s="58"/>
      <c r="J71" s="13"/>
    </row>
    <row r="72" spans="2:10" ht="13.5" thickBot="1" x14ac:dyDescent="0.35">
      <c r="B72" s="172">
        <f>'III. Data Inputs-BE'!C125</f>
        <v>0</v>
      </c>
      <c r="H72" s="41"/>
      <c r="J72" s="13"/>
    </row>
    <row r="73" spans="2:10" s="4" customFormat="1" ht="16.5" thickBot="1" x14ac:dyDescent="0.45">
      <c r="B73" s="155" t="s">
        <v>406</v>
      </c>
      <c r="C73" s="162" t="s">
        <v>407</v>
      </c>
      <c r="D73" s="162" t="s">
        <v>408</v>
      </c>
      <c r="E73" s="162" t="s">
        <v>409</v>
      </c>
      <c r="F73" s="162" t="s">
        <v>410</v>
      </c>
      <c r="G73" s="162" t="s">
        <v>411</v>
      </c>
      <c r="H73" s="156" t="s">
        <v>412</v>
      </c>
      <c r="I73" s="163" t="s">
        <v>413</v>
      </c>
    </row>
    <row r="74" spans="2:10" x14ac:dyDescent="0.3">
      <c r="B74" s="185" t="str">
        <f>'III. Data Inputs-BE'!B107</f>
        <v>Population 1</v>
      </c>
      <c r="C74" s="186">
        <f>'III. Data Inputs-BE'!$C$82</f>
        <v>1</v>
      </c>
      <c r="D74" s="186">
        <f>'III. Data Inputs-BE'!C183</f>
        <v>0</v>
      </c>
      <c r="E74" s="187">
        <f>'V. BE CH4,AS'!$C$19</f>
        <v>0</v>
      </c>
      <c r="F74" s="186">
        <f>'III. Data Inputs-BE'!$C$163</f>
        <v>0</v>
      </c>
      <c r="G74" s="186">
        <f>'III. Data Inputs-BE'!$C$107</f>
        <v>0.17</v>
      </c>
      <c r="H74" s="157">
        <f>C74*D74*E74*'III. Data Inputs-BE'!$G$45*F74*G74*0.68*0.001</f>
        <v>0</v>
      </c>
      <c r="I74" s="158">
        <f t="shared" ref="I74:I83" si="4">H74*gwp_ch4</f>
        <v>0</v>
      </c>
      <c r="J74" s="13"/>
    </row>
    <row r="75" spans="2:10" x14ac:dyDescent="0.3">
      <c r="B75" s="178" t="str">
        <f>'III. Data Inputs-BE'!B108</f>
        <v>Population 2</v>
      </c>
      <c r="C75" s="175">
        <f>'III. Data Inputs-BE'!$D$82</f>
        <v>2</v>
      </c>
      <c r="D75" s="175">
        <f>'III. Data Inputs-BE'!D183</f>
        <v>0</v>
      </c>
      <c r="E75" s="176">
        <f>'V. BE CH4,AS'!$C$67</f>
        <v>0</v>
      </c>
      <c r="F75" s="175">
        <f>'III. Data Inputs-BE'!$C$163</f>
        <v>0</v>
      </c>
      <c r="G75" s="174">
        <f>'III. Data Inputs-BE'!$C$108</f>
        <v>0.17</v>
      </c>
      <c r="H75" s="148">
        <f>C75*D75*E75*'III. Data Inputs-BE'!$G$45*F75*G75*0.68*0.001</f>
        <v>0</v>
      </c>
      <c r="I75" s="149">
        <f t="shared" si="4"/>
        <v>0</v>
      </c>
      <c r="J75" s="13"/>
    </row>
    <row r="76" spans="2:10" x14ac:dyDescent="0.3">
      <c r="B76" s="178" t="str">
        <f>'III. Data Inputs-BE'!B109</f>
        <v>Population 3</v>
      </c>
      <c r="C76" s="175">
        <f>'III. Data Inputs-BE'!$E$82</f>
        <v>0</v>
      </c>
      <c r="D76" s="175">
        <f>'III. Data Inputs-BE'!E183</f>
        <v>0</v>
      </c>
      <c r="E76" s="176">
        <f>'III. Data Inputs-BE'!$D$95</f>
        <v>0</v>
      </c>
      <c r="F76" s="175">
        <f>'III. Data Inputs-BE'!$C$163</f>
        <v>0</v>
      </c>
      <c r="G76" s="174">
        <f>'III. Data Inputs-BE'!$C$109</f>
        <v>0</v>
      </c>
      <c r="H76" s="148">
        <f>C76*D76*E76*'III. Data Inputs-BE'!$G$45*F76*G76*0.68*0.001</f>
        <v>0</v>
      </c>
      <c r="I76" s="149">
        <f t="shared" si="4"/>
        <v>0</v>
      </c>
      <c r="J76" s="13"/>
    </row>
    <row r="77" spans="2:10" x14ac:dyDescent="0.3">
      <c r="B77" s="178" t="str">
        <f>'III. Data Inputs-BE'!B110</f>
        <v>Population 4</v>
      </c>
      <c r="C77" s="175">
        <f>'III. Data Inputs-BE'!$F$82</f>
        <v>0</v>
      </c>
      <c r="D77" s="175">
        <f>'III. Data Inputs-BE'!F183</f>
        <v>0</v>
      </c>
      <c r="E77" s="176">
        <f>'III. Data Inputs-BE'!$D$96</f>
        <v>0</v>
      </c>
      <c r="F77" s="175">
        <f>'III. Data Inputs-BE'!$C$163</f>
        <v>0</v>
      </c>
      <c r="G77" s="174">
        <f>'III. Data Inputs-BE'!$C$110</f>
        <v>0</v>
      </c>
      <c r="H77" s="148">
        <f>C77*D77*E77*'III. Data Inputs-BE'!$G$45*F77*G77*0.68*0.001</f>
        <v>0</v>
      </c>
      <c r="I77" s="149">
        <f t="shared" si="4"/>
        <v>0</v>
      </c>
      <c r="J77" s="13"/>
    </row>
    <row r="78" spans="2:10" x14ac:dyDescent="0.3">
      <c r="B78" s="178" t="str">
        <f>'III. Data Inputs-BE'!B111</f>
        <v>Population 5</v>
      </c>
      <c r="C78" s="175">
        <f>'III. Data Inputs-BE'!$G$82</f>
        <v>0</v>
      </c>
      <c r="D78" s="175">
        <f>'III. Data Inputs-BE'!G183</f>
        <v>0</v>
      </c>
      <c r="E78" s="176">
        <f>'III. Data Inputs-BE'!$D$97</f>
        <v>0</v>
      </c>
      <c r="F78" s="175">
        <f>'III. Data Inputs-BE'!$C$163</f>
        <v>0</v>
      </c>
      <c r="G78" s="174">
        <f>'III. Data Inputs-BE'!$C$111</f>
        <v>0</v>
      </c>
      <c r="H78" s="148">
        <f>C78*D78*E78*'III. Data Inputs-BE'!$G$45*F78*G78*0.68*0.001</f>
        <v>0</v>
      </c>
      <c r="I78" s="149">
        <f t="shared" si="4"/>
        <v>0</v>
      </c>
      <c r="J78" s="13"/>
    </row>
    <row r="79" spans="2:10" x14ac:dyDescent="0.3">
      <c r="B79" s="178" t="str">
        <f>'III. Data Inputs-BE'!B112</f>
        <v>Population 6</v>
      </c>
      <c r="C79" s="175">
        <f>'III. Data Inputs-BE'!$H$82</f>
        <v>0</v>
      </c>
      <c r="D79" s="175">
        <f>'III. Data Inputs-BE'!H183</f>
        <v>0</v>
      </c>
      <c r="E79" s="176">
        <f>'III. Data Inputs-BE'!$D$98</f>
        <v>0</v>
      </c>
      <c r="F79" s="175">
        <f>'III. Data Inputs-BE'!$C$163</f>
        <v>0</v>
      </c>
      <c r="G79" s="174">
        <f>'III. Data Inputs-BE'!$C$112</f>
        <v>0</v>
      </c>
      <c r="H79" s="148">
        <f>C79*D79*E79*'III. Data Inputs-BE'!$G$45*F79*G79*0.68*0.001</f>
        <v>0</v>
      </c>
      <c r="I79" s="149">
        <f t="shared" si="4"/>
        <v>0</v>
      </c>
      <c r="J79" s="13"/>
    </row>
    <row r="80" spans="2:10" x14ac:dyDescent="0.3">
      <c r="B80" s="178" t="str">
        <f>'III. Data Inputs-BE'!B113</f>
        <v>Population 7</v>
      </c>
      <c r="C80" s="175">
        <f>'III. Data Inputs-BE'!$I$82</f>
        <v>0</v>
      </c>
      <c r="D80" s="175">
        <f>'III. Data Inputs-BE'!I183</f>
        <v>0</v>
      </c>
      <c r="E80" s="176">
        <f>'III. Data Inputs-BE'!$D$99</f>
        <v>0</v>
      </c>
      <c r="F80" s="175">
        <f>'III. Data Inputs-BE'!$C$163</f>
        <v>0</v>
      </c>
      <c r="G80" s="174">
        <f>'III. Data Inputs-BE'!$C$113</f>
        <v>0</v>
      </c>
      <c r="H80" s="148">
        <f>C80*D80*E80*'III. Data Inputs-BE'!$G$45*F80*G80*0.68*0.001</f>
        <v>0</v>
      </c>
      <c r="I80" s="149">
        <f t="shared" si="4"/>
        <v>0</v>
      </c>
      <c r="J80" s="13"/>
    </row>
    <row r="81" spans="2:10" x14ac:dyDescent="0.3">
      <c r="B81" s="178" t="str">
        <f>'III. Data Inputs-BE'!B114</f>
        <v>Population 8</v>
      </c>
      <c r="C81" s="175">
        <f>'III. Data Inputs-BE'!$J$82</f>
        <v>0</v>
      </c>
      <c r="D81" s="175">
        <f>'III. Data Inputs-BE'!J183</f>
        <v>0</v>
      </c>
      <c r="E81" s="176">
        <f>'III. Data Inputs-BE'!$D$100</f>
        <v>0</v>
      </c>
      <c r="F81" s="175">
        <f>'III. Data Inputs-BE'!$C$163</f>
        <v>0</v>
      </c>
      <c r="G81" s="174">
        <f>'III. Data Inputs-BE'!$C$114</f>
        <v>0</v>
      </c>
      <c r="H81" s="148">
        <f>C81*D81*E81*'III. Data Inputs-BE'!$G$45*F81*G81*0.68*0.001</f>
        <v>0</v>
      </c>
      <c r="I81" s="149">
        <f t="shared" si="4"/>
        <v>0</v>
      </c>
      <c r="J81" s="13"/>
    </row>
    <row r="82" spans="2:10" x14ac:dyDescent="0.3">
      <c r="B82" s="178" t="str">
        <f>'III. Data Inputs-BE'!B115</f>
        <v>Population 9</v>
      </c>
      <c r="C82" s="175">
        <f>'III. Data Inputs-BE'!$K$82</f>
        <v>0</v>
      </c>
      <c r="D82" s="175">
        <f>'III. Data Inputs-BE'!K183</f>
        <v>0</v>
      </c>
      <c r="E82" s="176">
        <f>'III. Data Inputs-BE'!$D$101</f>
        <v>0</v>
      </c>
      <c r="F82" s="175">
        <f>'III. Data Inputs-BE'!$C$163</f>
        <v>0</v>
      </c>
      <c r="G82" s="174">
        <f>'III. Data Inputs-BE'!$C$115</f>
        <v>0</v>
      </c>
      <c r="H82" s="148">
        <f>C82*D82*E82*'III. Data Inputs-BE'!$G$45*F82*G82*0.68*0.001</f>
        <v>0</v>
      </c>
      <c r="I82" s="149">
        <f t="shared" si="4"/>
        <v>0</v>
      </c>
      <c r="J82" s="13"/>
    </row>
    <row r="83" spans="2:10" ht="13.5" thickBot="1" x14ac:dyDescent="0.35">
      <c r="B83" s="193" t="str">
        <f>'III. Data Inputs-BE'!B116</f>
        <v>Population 10</v>
      </c>
      <c r="C83" s="189">
        <f>'III. Data Inputs-BE'!$L$82</f>
        <v>0</v>
      </c>
      <c r="D83" s="189">
        <f>'III. Data Inputs-BE'!L183</f>
        <v>0</v>
      </c>
      <c r="E83" s="190">
        <f>'III. Data Inputs-BE'!$D$102</f>
        <v>0</v>
      </c>
      <c r="F83" s="189">
        <f>'III. Data Inputs-BE'!$C$163</f>
        <v>0</v>
      </c>
      <c r="G83" s="191">
        <f>'III. Data Inputs-BE'!$C$116</f>
        <v>0</v>
      </c>
      <c r="H83" s="159">
        <f>C83*D83*E83*'III. Data Inputs-BE'!$G$45*F83*G83*0.68*0.001</f>
        <v>0</v>
      </c>
      <c r="I83" s="161">
        <f t="shared" si="4"/>
        <v>0</v>
      </c>
      <c r="J83" s="13"/>
    </row>
    <row r="84" spans="2:10" ht="13.5" thickBot="1" x14ac:dyDescent="0.35">
      <c r="B84" s="182" t="s">
        <v>414</v>
      </c>
      <c r="C84" s="183"/>
      <c r="D84" s="183"/>
      <c r="E84" s="183"/>
      <c r="F84" s="183"/>
      <c r="G84" s="184"/>
      <c r="H84" s="151">
        <f>SUM(H74:H83)</f>
        <v>0</v>
      </c>
      <c r="I84" s="154">
        <f>SUM(I74:I83)</f>
        <v>0</v>
      </c>
      <c r="J84" s="13"/>
    </row>
    <row r="85" spans="2:10" ht="13.5" thickBot="1" x14ac:dyDescent="0.35">
      <c r="H85" s="58"/>
      <c r="I85" s="58"/>
      <c r="J85" s="13"/>
    </row>
    <row r="86" spans="2:10" ht="13.5" thickBot="1" x14ac:dyDescent="0.35">
      <c r="B86" s="172">
        <f>'III. Data Inputs-BE'!C126</f>
        <v>0</v>
      </c>
      <c r="H86" s="41"/>
      <c r="J86" s="13"/>
    </row>
    <row r="87" spans="2:10" s="4" customFormat="1" ht="16.5" thickBot="1" x14ac:dyDescent="0.45">
      <c r="B87" s="155" t="s">
        <v>406</v>
      </c>
      <c r="C87" s="162" t="s">
        <v>407</v>
      </c>
      <c r="D87" s="162" t="s">
        <v>408</v>
      </c>
      <c r="E87" s="162" t="s">
        <v>409</v>
      </c>
      <c r="F87" s="162" t="s">
        <v>410</v>
      </c>
      <c r="G87" s="162" t="s">
        <v>411</v>
      </c>
      <c r="H87" s="156" t="s">
        <v>412</v>
      </c>
      <c r="I87" s="163" t="s">
        <v>413</v>
      </c>
    </row>
    <row r="88" spans="2:10" x14ac:dyDescent="0.3">
      <c r="B88" s="185" t="str">
        <f>'III. Data Inputs-BE'!B107</f>
        <v>Population 1</v>
      </c>
      <c r="C88" s="186">
        <f>'III. Data Inputs-BE'!$C$82</f>
        <v>1</v>
      </c>
      <c r="D88" s="186">
        <f>'III. Data Inputs-BE'!C184</f>
        <v>0</v>
      </c>
      <c r="E88" s="187">
        <f>'V. BE CH4,AS'!$C$19</f>
        <v>0</v>
      </c>
      <c r="F88" s="186">
        <f>'III. Data Inputs-BE'!$C$164</f>
        <v>0</v>
      </c>
      <c r="G88" s="186">
        <f>'III. Data Inputs-BE'!$C$107</f>
        <v>0.17</v>
      </c>
      <c r="H88" s="157">
        <f>C88*D88*E88*'III. Data Inputs-BE'!$G$45*F88*G88*0.68*0.001</f>
        <v>0</v>
      </c>
      <c r="I88" s="158">
        <f t="shared" ref="I88:I97" si="5">H88*gwp_ch4</f>
        <v>0</v>
      </c>
      <c r="J88" s="13"/>
    </row>
    <row r="89" spans="2:10" x14ac:dyDescent="0.3">
      <c r="B89" s="178" t="str">
        <f>'III. Data Inputs-BE'!B108</f>
        <v>Population 2</v>
      </c>
      <c r="C89" s="175">
        <f>'III. Data Inputs-BE'!$D$82</f>
        <v>2</v>
      </c>
      <c r="D89" s="175">
        <f>'III. Data Inputs-BE'!D184</f>
        <v>0</v>
      </c>
      <c r="E89" s="176">
        <f>'V. BE CH4,AS'!$C$67</f>
        <v>0</v>
      </c>
      <c r="F89" s="174">
        <f>'III. Data Inputs-BE'!$C$164</f>
        <v>0</v>
      </c>
      <c r="G89" s="174">
        <f>'III. Data Inputs-BE'!$C$108</f>
        <v>0.17</v>
      </c>
      <c r="H89" s="148">
        <f>C89*D89*E89*'III. Data Inputs-BE'!$G$45*F89*G89*0.68*0.001</f>
        <v>0</v>
      </c>
      <c r="I89" s="149">
        <f t="shared" si="5"/>
        <v>0</v>
      </c>
      <c r="J89" s="13"/>
    </row>
    <row r="90" spans="2:10" x14ac:dyDescent="0.3">
      <c r="B90" s="178" t="str">
        <f>'III. Data Inputs-BE'!B109</f>
        <v>Population 3</v>
      </c>
      <c r="C90" s="175">
        <f>'III. Data Inputs-BE'!$E$82</f>
        <v>0</v>
      </c>
      <c r="D90" s="175">
        <f>'III. Data Inputs-BE'!E184</f>
        <v>0</v>
      </c>
      <c r="E90" s="176">
        <f>'III. Data Inputs-BE'!$D$95</f>
        <v>0</v>
      </c>
      <c r="F90" s="174">
        <f>'III. Data Inputs-BE'!$C$164</f>
        <v>0</v>
      </c>
      <c r="G90" s="174">
        <f>'III. Data Inputs-BE'!$C$109</f>
        <v>0</v>
      </c>
      <c r="H90" s="148">
        <f>C90*D90*E90*'III. Data Inputs-BE'!$G$45*F90*G90*0.68*0.001</f>
        <v>0</v>
      </c>
      <c r="I90" s="149">
        <f t="shared" si="5"/>
        <v>0</v>
      </c>
      <c r="J90" s="13"/>
    </row>
    <row r="91" spans="2:10" x14ac:dyDescent="0.3">
      <c r="B91" s="178" t="str">
        <f>'III. Data Inputs-BE'!B110</f>
        <v>Population 4</v>
      </c>
      <c r="C91" s="175">
        <f>'III. Data Inputs-BE'!$F$82</f>
        <v>0</v>
      </c>
      <c r="D91" s="175">
        <f>'III. Data Inputs-BE'!F184</f>
        <v>0</v>
      </c>
      <c r="E91" s="176">
        <f>'III. Data Inputs-BE'!$D$96</f>
        <v>0</v>
      </c>
      <c r="F91" s="174">
        <f>'III. Data Inputs-BE'!$C$164</f>
        <v>0</v>
      </c>
      <c r="G91" s="174">
        <f>'III. Data Inputs-BE'!$C$110</f>
        <v>0</v>
      </c>
      <c r="H91" s="148">
        <f>C91*D91*E91*'III. Data Inputs-BE'!$G$45*F91*G91*0.68*0.001</f>
        <v>0</v>
      </c>
      <c r="I91" s="149">
        <f t="shared" si="5"/>
        <v>0</v>
      </c>
      <c r="J91" s="13"/>
    </row>
    <row r="92" spans="2:10" x14ac:dyDescent="0.3">
      <c r="B92" s="178" t="str">
        <f>'III. Data Inputs-BE'!B111</f>
        <v>Population 5</v>
      </c>
      <c r="C92" s="175">
        <f>'III. Data Inputs-BE'!$G$82</f>
        <v>0</v>
      </c>
      <c r="D92" s="175">
        <f>'III. Data Inputs-BE'!G184</f>
        <v>0</v>
      </c>
      <c r="E92" s="176">
        <f>'III. Data Inputs-BE'!$D$97</f>
        <v>0</v>
      </c>
      <c r="F92" s="174">
        <f>'III. Data Inputs-BE'!$C$164</f>
        <v>0</v>
      </c>
      <c r="G92" s="174">
        <f>'III. Data Inputs-BE'!$C$111</f>
        <v>0</v>
      </c>
      <c r="H92" s="148">
        <f>C92*D92*E92*'III. Data Inputs-BE'!$G$45*F92*G92*0.68*0.001</f>
        <v>0</v>
      </c>
      <c r="I92" s="149">
        <f t="shared" si="5"/>
        <v>0</v>
      </c>
      <c r="J92" s="13"/>
    </row>
    <row r="93" spans="2:10" x14ac:dyDescent="0.3">
      <c r="B93" s="178" t="str">
        <f>'III. Data Inputs-BE'!B112</f>
        <v>Population 6</v>
      </c>
      <c r="C93" s="175">
        <f>'III. Data Inputs-BE'!$H$82</f>
        <v>0</v>
      </c>
      <c r="D93" s="175">
        <f>'III. Data Inputs-BE'!H184</f>
        <v>0</v>
      </c>
      <c r="E93" s="176">
        <f>'III. Data Inputs-BE'!$D$98</f>
        <v>0</v>
      </c>
      <c r="F93" s="174">
        <f>'III. Data Inputs-BE'!$C$164</f>
        <v>0</v>
      </c>
      <c r="G93" s="174">
        <f>'III. Data Inputs-BE'!$C$112</f>
        <v>0</v>
      </c>
      <c r="H93" s="148">
        <f>C93*D93*E93*'III. Data Inputs-BE'!$G$45*F93*G93*0.68*0.001</f>
        <v>0</v>
      </c>
      <c r="I93" s="149">
        <f t="shared" si="5"/>
        <v>0</v>
      </c>
      <c r="J93" s="13"/>
    </row>
    <row r="94" spans="2:10" x14ac:dyDescent="0.3">
      <c r="B94" s="178" t="str">
        <f>'III. Data Inputs-BE'!B113</f>
        <v>Population 7</v>
      </c>
      <c r="C94" s="175">
        <f>'III. Data Inputs-BE'!$I$82</f>
        <v>0</v>
      </c>
      <c r="D94" s="175">
        <f>'III. Data Inputs-BE'!I184</f>
        <v>0</v>
      </c>
      <c r="E94" s="176">
        <f>'III. Data Inputs-BE'!$D$99</f>
        <v>0</v>
      </c>
      <c r="F94" s="174">
        <f>'III. Data Inputs-BE'!$C$164</f>
        <v>0</v>
      </c>
      <c r="G94" s="174">
        <f>'III. Data Inputs-BE'!$C$113</f>
        <v>0</v>
      </c>
      <c r="H94" s="148">
        <f>C94*D94*E94*'III. Data Inputs-BE'!$G$45*F94*G94*0.68*0.001</f>
        <v>0</v>
      </c>
      <c r="I94" s="149">
        <f t="shared" si="5"/>
        <v>0</v>
      </c>
      <c r="J94" s="13"/>
    </row>
    <row r="95" spans="2:10" x14ac:dyDescent="0.3">
      <c r="B95" s="178" t="str">
        <f>'III. Data Inputs-BE'!B114</f>
        <v>Population 8</v>
      </c>
      <c r="C95" s="175">
        <f>'III. Data Inputs-BE'!$J$82</f>
        <v>0</v>
      </c>
      <c r="D95" s="175">
        <f>'III. Data Inputs-BE'!J184</f>
        <v>0</v>
      </c>
      <c r="E95" s="176">
        <f>'III. Data Inputs-BE'!$D$100</f>
        <v>0</v>
      </c>
      <c r="F95" s="174">
        <f>'III. Data Inputs-BE'!$C$164</f>
        <v>0</v>
      </c>
      <c r="G95" s="174">
        <f>'III. Data Inputs-BE'!$C$114</f>
        <v>0</v>
      </c>
      <c r="H95" s="148">
        <f>C95*D95*E95*'III. Data Inputs-BE'!$G$45*F95*G95*0.68*0.001</f>
        <v>0</v>
      </c>
      <c r="I95" s="149">
        <f t="shared" si="5"/>
        <v>0</v>
      </c>
      <c r="J95" s="13"/>
    </row>
    <row r="96" spans="2:10" x14ac:dyDescent="0.3">
      <c r="B96" s="178" t="str">
        <f>'III. Data Inputs-BE'!B115</f>
        <v>Population 9</v>
      </c>
      <c r="C96" s="175">
        <f>'III. Data Inputs-BE'!$K$82</f>
        <v>0</v>
      </c>
      <c r="D96" s="175">
        <f>'III. Data Inputs-BE'!K184</f>
        <v>0</v>
      </c>
      <c r="E96" s="176">
        <f>'III. Data Inputs-BE'!$D$101</f>
        <v>0</v>
      </c>
      <c r="F96" s="174">
        <f>'III. Data Inputs-BE'!$C$164</f>
        <v>0</v>
      </c>
      <c r="G96" s="174">
        <f>'III. Data Inputs-BE'!$C$115</f>
        <v>0</v>
      </c>
      <c r="H96" s="148">
        <f>C96*D96*E96*'III. Data Inputs-BE'!$G$45*F96*G96*0.68*0.001</f>
        <v>0</v>
      </c>
      <c r="I96" s="149">
        <f t="shared" si="5"/>
        <v>0</v>
      </c>
      <c r="J96" s="13"/>
    </row>
    <row r="97" spans="2:10" ht="13.5" thickBot="1" x14ac:dyDescent="0.35">
      <c r="B97" s="193" t="str">
        <f>'III. Data Inputs-BE'!B116</f>
        <v>Population 10</v>
      </c>
      <c r="C97" s="189">
        <f>'III. Data Inputs-BE'!$L$82</f>
        <v>0</v>
      </c>
      <c r="D97" s="189">
        <f>'III. Data Inputs-BE'!L184</f>
        <v>0</v>
      </c>
      <c r="E97" s="190">
        <f>'III. Data Inputs-BE'!$D$102</f>
        <v>0</v>
      </c>
      <c r="F97" s="191">
        <f>'III. Data Inputs-BE'!$C$164</f>
        <v>0</v>
      </c>
      <c r="G97" s="191">
        <f>'III. Data Inputs-BE'!$C$116</f>
        <v>0</v>
      </c>
      <c r="H97" s="159">
        <f>C97*D97*E97*'III. Data Inputs-BE'!$G$45*F97*G97*0.68*0.001</f>
        <v>0</v>
      </c>
      <c r="I97" s="161">
        <f t="shared" si="5"/>
        <v>0</v>
      </c>
      <c r="J97" s="13"/>
    </row>
    <row r="98" spans="2:10" ht="13.5" thickBot="1" x14ac:dyDescent="0.35">
      <c r="B98" s="182" t="s">
        <v>414</v>
      </c>
      <c r="C98" s="183"/>
      <c r="D98" s="183"/>
      <c r="E98" s="183"/>
      <c r="F98" s="183"/>
      <c r="G98" s="184"/>
      <c r="H98" s="151">
        <f>SUM(H88:H97)</f>
        <v>0</v>
      </c>
      <c r="I98" s="154">
        <f>SUM(I88:I97)</f>
        <v>0</v>
      </c>
      <c r="J98" s="13"/>
    </row>
    <row r="99" spans="2:10" ht="13.5" thickBot="1" x14ac:dyDescent="0.35">
      <c r="H99" s="58"/>
      <c r="I99" s="58"/>
      <c r="J99" s="13"/>
    </row>
    <row r="100" spans="2:10" ht="13.5" thickBot="1" x14ac:dyDescent="0.35">
      <c r="B100" s="172">
        <f>'III. Data Inputs-BE'!C127</f>
        <v>0</v>
      </c>
      <c r="H100" s="41"/>
      <c r="J100" s="13"/>
    </row>
    <row r="101" spans="2:10" s="4" customFormat="1" ht="16.5" thickBot="1" x14ac:dyDescent="0.45">
      <c r="B101" s="155" t="s">
        <v>406</v>
      </c>
      <c r="C101" s="162" t="s">
        <v>407</v>
      </c>
      <c r="D101" s="162" t="s">
        <v>408</v>
      </c>
      <c r="E101" s="162" t="s">
        <v>409</v>
      </c>
      <c r="F101" s="162" t="s">
        <v>410</v>
      </c>
      <c r="G101" s="162" t="s">
        <v>411</v>
      </c>
      <c r="H101" s="156" t="s">
        <v>412</v>
      </c>
      <c r="I101" s="163" t="s">
        <v>413</v>
      </c>
    </row>
    <row r="102" spans="2:10" x14ac:dyDescent="0.3">
      <c r="B102" s="185" t="str">
        <f>'III. Data Inputs-BE'!B107</f>
        <v>Population 1</v>
      </c>
      <c r="C102" s="186">
        <f>'III. Data Inputs-BE'!$C$82</f>
        <v>1</v>
      </c>
      <c r="D102" s="186">
        <f>'III. Data Inputs-BE'!C185</f>
        <v>0</v>
      </c>
      <c r="E102" s="187">
        <f>'V. BE CH4,AS'!$C$19</f>
        <v>0</v>
      </c>
      <c r="F102" s="186">
        <f>'III. Data Inputs-BE'!$C$165</f>
        <v>0</v>
      </c>
      <c r="G102" s="186">
        <f>'III. Data Inputs-BE'!$C$107</f>
        <v>0.17</v>
      </c>
      <c r="H102" s="157">
        <f>C102*D102*E102*'III. Data Inputs-BE'!$G$45*F102*G102*0.68*0.001</f>
        <v>0</v>
      </c>
      <c r="I102" s="158">
        <f t="shared" ref="I102:I111" si="6">H102*gwp_ch4</f>
        <v>0</v>
      </c>
      <c r="J102" s="13"/>
    </row>
    <row r="103" spans="2:10" x14ac:dyDescent="0.3">
      <c r="B103" s="178" t="str">
        <f>'III. Data Inputs-BE'!B108</f>
        <v>Population 2</v>
      </c>
      <c r="C103" s="175">
        <f>'III. Data Inputs-BE'!$D$82</f>
        <v>2</v>
      </c>
      <c r="D103" s="175">
        <f>'III. Data Inputs-BE'!D185</f>
        <v>0</v>
      </c>
      <c r="E103" s="176">
        <f>'V. BE CH4,AS'!$C$67</f>
        <v>0</v>
      </c>
      <c r="F103" s="174">
        <f>'III. Data Inputs-BE'!$C$165</f>
        <v>0</v>
      </c>
      <c r="G103" s="174">
        <f>'III. Data Inputs-BE'!$C$108</f>
        <v>0.17</v>
      </c>
      <c r="H103" s="148">
        <f>C103*D103*E103*'III. Data Inputs-BE'!$G$45*F103*G103*0.68*0.001</f>
        <v>0</v>
      </c>
      <c r="I103" s="149">
        <f t="shared" si="6"/>
        <v>0</v>
      </c>
      <c r="J103" s="13"/>
    </row>
    <row r="104" spans="2:10" x14ac:dyDescent="0.3">
      <c r="B104" s="178" t="str">
        <f>'III. Data Inputs-BE'!B109</f>
        <v>Population 3</v>
      </c>
      <c r="C104" s="175">
        <f>'III. Data Inputs-BE'!$E$82</f>
        <v>0</v>
      </c>
      <c r="D104" s="175">
        <f>'III. Data Inputs-BE'!E185</f>
        <v>0</v>
      </c>
      <c r="E104" s="176">
        <f>'III. Data Inputs-BE'!$D$95</f>
        <v>0</v>
      </c>
      <c r="F104" s="174">
        <f>'III. Data Inputs-BE'!$C$165</f>
        <v>0</v>
      </c>
      <c r="G104" s="174">
        <f>'III. Data Inputs-BE'!$C$109</f>
        <v>0</v>
      </c>
      <c r="H104" s="148">
        <f>C104*D104*E104*'III. Data Inputs-BE'!$G$45*F104*G104*0.68*0.001</f>
        <v>0</v>
      </c>
      <c r="I104" s="149">
        <f t="shared" si="6"/>
        <v>0</v>
      </c>
      <c r="J104" s="13"/>
    </row>
    <row r="105" spans="2:10" x14ac:dyDescent="0.3">
      <c r="B105" s="178" t="str">
        <f>'III. Data Inputs-BE'!B110</f>
        <v>Population 4</v>
      </c>
      <c r="C105" s="175">
        <f>'III. Data Inputs-BE'!$F$82</f>
        <v>0</v>
      </c>
      <c r="D105" s="175">
        <f>'III. Data Inputs-BE'!F185</f>
        <v>0</v>
      </c>
      <c r="E105" s="176">
        <f>'III. Data Inputs-BE'!$D$96</f>
        <v>0</v>
      </c>
      <c r="F105" s="174">
        <f>'III. Data Inputs-BE'!$C$165</f>
        <v>0</v>
      </c>
      <c r="G105" s="174">
        <f>'III. Data Inputs-BE'!$C$110</f>
        <v>0</v>
      </c>
      <c r="H105" s="148">
        <f>C105*D105*E105*'III. Data Inputs-BE'!$G$45*F105*G105*0.68*0.001</f>
        <v>0</v>
      </c>
      <c r="I105" s="149">
        <f t="shared" si="6"/>
        <v>0</v>
      </c>
      <c r="J105" s="13"/>
    </row>
    <row r="106" spans="2:10" x14ac:dyDescent="0.3">
      <c r="B106" s="178" t="str">
        <f>'III. Data Inputs-BE'!B111</f>
        <v>Population 5</v>
      </c>
      <c r="C106" s="175">
        <f>'III. Data Inputs-BE'!$G$82</f>
        <v>0</v>
      </c>
      <c r="D106" s="175">
        <f>'III. Data Inputs-BE'!G185</f>
        <v>0</v>
      </c>
      <c r="E106" s="176">
        <f>'III. Data Inputs-BE'!$D$97</f>
        <v>0</v>
      </c>
      <c r="F106" s="174">
        <f>'III. Data Inputs-BE'!$C$165</f>
        <v>0</v>
      </c>
      <c r="G106" s="174">
        <f>'III. Data Inputs-BE'!$C$111</f>
        <v>0</v>
      </c>
      <c r="H106" s="148">
        <f>C106*D106*E106*'III. Data Inputs-BE'!$G$45*F106*G106*0.68*0.001</f>
        <v>0</v>
      </c>
      <c r="I106" s="149">
        <f t="shared" si="6"/>
        <v>0</v>
      </c>
      <c r="J106" s="13"/>
    </row>
    <row r="107" spans="2:10" x14ac:dyDescent="0.3">
      <c r="B107" s="178" t="str">
        <f>'III. Data Inputs-BE'!B112</f>
        <v>Population 6</v>
      </c>
      <c r="C107" s="175">
        <f>'III. Data Inputs-BE'!$H$82</f>
        <v>0</v>
      </c>
      <c r="D107" s="175">
        <f>'III. Data Inputs-BE'!H185</f>
        <v>0</v>
      </c>
      <c r="E107" s="176">
        <f>'III. Data Inputs-BE'!$D$98</f>
        <v>0</v>
      </c>
      <c r="F107" s="174">
        <f>'III. Data Inputs-BE'!$C$165</f>
        <v>0</v>
      </c>
      <c r="G107" s="174">
        <f>'III. Data Inputs-BE'!$C$112</f>
        <v>0</v>
      </c>
      <c r="H107" s="148">
        <f>C107*D107*E107*'III. Data Inputs-BE'!$G$45*F107*G107*0.68*0.001</f>
        <v>0</v>
      </c>
      <c r="I107" s="149">
        <f t="shared" si="6"/>
        <v>0</v>
      </c>
      <c r="J107" s="13"/>
    </row>
    <row r="108" spans="2:10" x14ac:dyDescent="0.3">
      <c r="B108" s="178" t="str">
        <f>'III. Data Inputs-BE'!B113</f>
        <v>Population 7</v>
      </c>
      <c r="C108" s="175">
        <f>'III. Data Inputs-BE'!$I$82</f>
        <v>0</v>
      </c>
      <c r="D108" s="175">
        <f>'III. Data Inputs-BE'!I185</f>
        <v>0</v>
      </c>
      <c r="E108" s="176">
        <f>'III. Data Inputs-BE'!$D$99</f>
        <v>0</v>
      </c>
      <c r="F108" s="174">
        <f>'III. Data Inputs-BE'!$C$165</f>
        <v>0</v>
      </c>
      <c r="G108" s="174">
        <f>'III. Data Inputs-BE'!$C$113</f>
        <v>0</v>
      </c>
      <c r="H108" s="148">
        <f>C108*D108*E108*'III. Data Inputs-BE'!$G$45*F108*G108*0.68*0.001</f>
        <v>0</v>
      </c>
      <c r="I108" s="149">
        <f t="shared" si="6"/>
        <v>0</v>
      </c>
      <c r="J108" s="13"/>
    </row>
    <row r="109" spans="2:10" x14ac:dyDescent="0.3">
      <c r="B109" s="178" t="str">
        <f>'III. Data Inputs-BE'!B114</f>
        <v>Population 8</v>
      </c>
      <c r="C109" s="175">
        <f>'III. Data Inputs-BE'!$J$82</f>
        <v>0</v>
      </c>
      <c r="D109" s="175">
        <f>'III. Data Inputs-BE'!J185</f>
        <v>0</v>
      </c>
      <c r="E109" s="176">
        <f>'III. Data Inputs-BE'!$D$100</f>
        <v>0</v>
      </c>
      <c r="F109" s="174">
        <f>'III. Data Inputs-BE'!$C$165</f>
        <v>0</v>
      </c>
      <c r="G109" s="174">
        <f>'III. Data Inputs-BE'!$C$114</f>
        <v>0</v>
      </c>
      <c r="H109" s="148">
        <f>C109*D109*E109*'III. Data Inputs-BE'!$G$45*F109*G109*0.68*0.001</f>
        <v>0</v>
      </c>
      <c r="I109" s="149">
        <f t="shared" si="6"/>
        <v>0</v>
      </c>
      <c r="J109" s="13"/>
    </row>
    <row r="110" spans="2:10" x14ac:dyDescent="0.3">
      <c r="B110" s="178" t="str">
        <f>'III. Data Inputs-BE'!B115</f>
        <v>Population 9</v>
      </c>
      <c r="C110" s="175">
        <f>'III. Data Inputs-BE'!$K$82</f>
        <v>0</v>
      </c>
      <c r="D110" s="175">
        <f>'III. Data Inputs-BE'!K185</f>
        <v>0</v>
      </c>
      <c r="E110" s="176">
        <f>'III. Data Inputs-BE'!$D$101</f>
        <v>0</v>
      </c>
      <c r="F110" s="174">
        <f>'III. Data Inputs-BE'!$C$165</f>
        <v>0</v>
      </c>
      <c r="G110" s="174">
        <f>'III. Data Inputs-BE'!$C$115</f>
        <v>0</v>
      </c>
      <c r="H110" s="148">
        <f>C110*D110*E110*'III. Data Inputs-BE'!$G$45*F110*G110*0.68*0.001</f>
        <v>0</v>
      </c>
      <c r="I110" s="149">
        <f t="shared" si="6"/>
        <v>0</v>
      </c>
      <c r="J110" s="13"/>
    </row>
    <row r="111" spans="2:10" ht="13.5" thickBot="1" x14ac:dyDescent="0.35">
      <c r="B111" s="193" t="str">
        <f>'III. Data Inputs-BE'!B116</f>
        <v>Population 10</v>
      </c>
      <c r="C111" s="189">
        <f>'III. Data Inputs-BE'!$L$82</f>
        <v>0</v>
      </c>
      <c r="D111" s="189">
        <f>'III. Data Inputs-BE'!L185</f>
        <v>0</v>
      </c>
      <c r="E111" s="190">
        <f>'III. Data Inputs-BE'!$D$102</f>
        <v>0</v>
      </c>
      <c r="F111" s="191">
        <f>'III. Data Inputs-BE'!$C$165</f>
        <v>0</v>
      </c>
      <c r="G111" s="191">
        <f>'III. Data Inputs-BE'!$C$116</f>
        <v>0</v>
      </c>
      <c r="H111" s="159">
        <f>C111*D111*E111*'III. Data Inputs-BE'!$G$45*F111*G111*0.68*0.001</f>
        <v>0</v>
      </c>
      <c r="I111" s="161">
        <f t="shared" si="6"/>
        <v>0</v>
      </c>
      <c r="J111" s="13"/>
    </row>
    <row r="112" spans="2:10" ht="13.5" thickBot="1" x14ac:dyDescent="0.35">
      <c r="B112" s="182" t="s">
        <v>414</v>
      </c>
      <c r="C112" s="183"/>
      <c r="D112" s="183"/>
      <c r="E112" s="183"/>
      <c r="F112" s="183"/>
      <c r="G112" s="184"/>
      <c r="H112" s="151">
        <f>SUM(H102:H111)</f>
        <v>0</v>
      </c>
      <c r="I112" s="154">
        <f>SUM(I102:I111)</f>
        <v>0</v>
      </c>
      <c r="J112" s="13"/>
    </row>
    <row r="113" spans="2:10" ht="13.5" thickBot="1" x14ac:dyDescent="0.35">
      <c r="H113" s="58"/>
      <c r="I113" s="58"/>
      <c r="J113" s="13"/>
    </row>
    <row r="114" spans="2:10" ht="13.5" thickBot="1" x14ac:dyDescent="0.35">
      <c r="B114" s="172">
        <f>'III. Data Inputs-BE'!C128</f>
        <v>0</v>
      </c>
      <c r="H114" s="41"/>
      <c r="J114" s="13"/>
    </row>
    <row r="115" spans="2:10" s="4" customFormat="1" ht="16.5" thickBot="1" x14ac:dyDescent="0.45">
      <c r="B115" s="155" t="s">
        <v>406</v>
      </c>
      <c r="C115" s="162" t="s">
        <v>407</v>
      </c>
      <c r="D115" s="162" t="s">
        <v>408</v>
      </c>
      <c r="E115" s="162" t="s">
        <v>409</v>
      </c>
      <c r="F115" s="162" t="s">
        <v>410</v>
      </c>
      <c r="G115" s="162" t="s">
        <v>411</v>
      </c>
      <c r="H115" s="156" t="s">
        <v>412</v>
      </c>
      <c r="I115" s="163" t="s">
        <v>413</v>
      </c>
    </row>
    <row r="116" spans="2:10" x14ac:dyDescent="0.3">
      <c r="B116" s="185" t="str">
        <f>'III. Data Inputs-BE'!B107</f>
        <v>Population 1</v>
      </c>
      <c r="C116" s="186">
        <f>'III. Data Inputs-BE'!$C$82</f>
        <v>1</v>
      </c>
      <c r="D116" s="186">
        <f>'III. Data Inputs-BE'!C186</f>
        <v>0</v>
      </c>
      <c r="E116" s="187">
        <f>'V. BE CH4,AS'!$C$19</f>
        <v>0</v>
      </c>
      <c r="F116" s="186">
        <f>'III. Data Inputs-BE'!$C$166</f>
        <v>0</v>
      </c>
      <c r="G116" s="186">
        <f>'III. Data Inputs-BE'!$C$107</f>
        <v>0.17</v>
      </c>
      <c r="H116" s="157">
        <f>C116*D116*E116*'III. Data Inputs-BE'!$G$45*F116*G116*0.68*0.001</f>
        <v>0</v>
      </c>
      <c r="I116" s="158">
        <f t="shared" ref="I116:I125" si="7">H116*gwp_ch4</f>
        <v>0</v>
      </c>
      <c r="J116" s="13"/>
    </row>
    <row r="117" spans="2:10" x14ac:dyDescent="0.3">
      <c r="B117" s="178" t="str">
        <f>'III. Data Inputs-BE'!B108</f>
        <v>Population 2</v>
      </c>
      <c r="C117" s="175">
        <f>'III. Data Inputs-BE'!$D$82</f>
        <v>2</v>
      </c>
      <c r="D117" s="175">
        <f>'III. Data Inputs-BE'!D186</f>
        <v>0</v>
      </c>
      <c r="E117" s="176">
        <f>'V. BE CH4,AS'!$C$67</f>
        <v>0</v>
      </c>
      <c r="F117" s="174">
        <f>'III. Data Inputs-BE'!$C$166</f>
        <v>0</v>
      </c>
      <c r="G117" s="174">
        <f>'III. Data Inputs-BE'!$C$108</f>
        <v>0.17</v>
      </c>
      <c r="H117" s="148">
        <f>C117*D117*E117*'III. Data Inputs-BE'!$G$45*F117*G117*0.68*0.001</f>
        <v>0</v>
      </c>
      <c r="I117" s="149">
        <f t="shared" si="7"/>
        <v>0</v>
      </c>
      <c r="J117" s="13"/>
    </row>
    <row r="118" spans="2:10" x14ac:dyDescent="0.3">
      <c r="B118" s="178" t="str">
        <f>'III. Data Inputs-BE'!B109</f>
        <v>Population 3</v>
      </c>
      <c r="C118" s="175">
        <f>'III. Data Inputs-BE'!$E$82</f>
        <v>0</v>
      </c>
      <c r="D118" s="175">
        <f>'III. Data Inputs-BE'!E186</f>
        <v>0</v>
      </c>
      <c r="E118" s="176">
        <f>'III. Data Inputs-BE'!$D$95</f>
        <v>0</v>
      </c>
      <c r="F118" s="174">
        <f>'III. Data Inputs-BE'!$C$166</f>
        <v>0</v>
      </c>
      <c r="G118" s="174">
        <f>'III. Data Inputs-BE'!$C$109</f>
        <v>0</v>
      </c>
      <c r="H118" s="148">
        <f>C118*D118*E118*'III. Data Inputs-BE'!$G$45*F118*G118*0.68*0.001</f>
        <v>0</v>
      </c>
      <c r="I118" s="149">
        <f t="shared" si="7"/>
        <v>0</v>
      </c>
      <c r="J118" s="13"/>
    </row>
    <row r="119" spans="2:10" x14ac:dyDescent="0.3">
      <c r="B119" s="178" t="str">
        <f>'III. Data Inputs-BE'!B110</f>
        <v>Population 4</v>
      </c>
      <c r="C119" s="175">
        <f>'III. Data Inputs-BE'!$F$82</f>
        <v>0</v>
      </c>
      <c r="D119" s="175">
        <f>'III. Data Inputs-BE'!F186</f>
        <v>0</v>
      </c>
      <c r="E119" s="176">
        <f>'III. Data Inputs-BE'!$D$96</f>
        <v>0</v>
      </c>
      <c r="F119" s="174">
        <f>'III. Data Inputs-BE'!$C$166</f>
        <v>0</v>
      </c>
      <c r="G119" s="174">
        <f>'III. Data Inputs-BE'!$C$110</f>
        <v>0</v>
      </c>
      <c r="H119" s="148">
        <f>C119*D119*E119*'III. Data Inputs-BE'!$G$45*F119*G119*0.68*0.001</f>
        <v>0</v>
      </c>
      <c r="I119" s="149">
        <f t="shared" si="7"/>
        <v>0</v>
      </c>
      <c r="J119" s="13"/>
    </row>
    <row r="120" spans="2:10" x14ac:dyDescent="0.3">
      <c r="B120" s="178" t="str">
        <f>'III. Data Inputs-BE'!B111</f>
        <v>Population 5</v>
      </c>
      <c r="C120" s="175">
        <f>'III. Data Inputs-BE'!$G$82</f>
        <v>0</v>
      </c>
      <c r="D120" s="175">
        <f>'III. Data Inputs-BE'!G186</f>
        <v>0</v>
      </c>
      <c r="E120" s="176">
        <f>'III. Data Inputs-BE'!$D$97</f>
        <v>0</v>
      </c>
      <c r="F120" s="174">
        <f>'III. Data Inputs-BE'!$C$166</f>
        <v>0</v>
      </c>
      <c r="G120" s="174">
        <f>'III. Data Inputs-BE'!$C$111</f>
        <v>0</v>
      </c>
      <c r="H120" s="148">
        <f>C120*D120*E120*'III. Data Inputs-BE'!$G$45*F120*G120*0.68*0.001</f>
        <v>0</v>
      </c>
      <c r="I120" s="149">
        <f t="shared" si="7"/>
        <v>0</v>
      </c>
      <c r="J120" s="13"/>
    </row>
    <row r="121" spans="2:10" x14ac:dyDescent="0.3">
      <c r="B121" s="178" t="str">
        <f>'III. Data Inputs-BE'!B112</f>
        <v>Population 6</v>
      </c>
      <c r="C121" s="175">
        <f>'III. Data Inputs-BE'!$H$82</f>
        <v>0</v>
      </c>
      <c r="D121" s="175">
        <f>'III. Data Inputs-BE'!H186</f>
        <v>0</v>
      </c>
      <c r="E121" s="176">
        <f>'III. Data Inputs-BE'!$D$98</f>
        <v>0</v>
      </c>
      <c r="F121" s="174">
        <f>'III. Data Inputs-BE'!$C$166</f>
        <v>0</v>
      </c>
      <c r="G121" s="174">
        <f>'III. Data Inputs-BE'!$C$112</f>
        <v>0</v>
      </c>
      <c r="H121" s="148">
        <f>C121*D121*E121*'III. Data Inputs-BE'!$G$45*F121*G121*0.68*0.001</f>
        <v>0</v>
      </c>
      <c r="I121" s="149">
        <f t="shared" si="7"/>
        <v>0</v>
      </c>
      <c r="J121" s="13"/>
    </row>
    <row r="122" spans="2:10" x14ac:dyDescent="0.3">
      <c r="B122" s="178" t="str">
        <f>'III. Data Inputs-BE'!B113</f>
        <v>Population 7</v>
      </c>
      <c r="C122" s="175">
        <f>'III. Data Inputs-BE'!$I$82</f>
        <v>0</v>
      </c>
      <c r="D122" s="175">
        <f>'III. Data Inputs-BE'!I186</f>
        <v>0</v>
      </c>
      <c r="E122" s="176">
        <f>'III. Data Inputs-BE'!$D$99</f>
        <v>0</v>
      </c>
      <c r="F122" s="174">
        <f>'III. Data Inputs-BE'!$C$166</f>
        <v>0</v>
      </c>
      <c r="G122" s="174">
        <f>'III. Data Inputs-BE'!$C$113</f>
        <v>0</v>
      </c>
      <c r="H122" s="148">
        <f>C122*D122*E122*'III. Data Inputs-BE'!$G$45*F122*G122*0.68*0.001</f>
        <v>0</v>
      </c>
      <c r="I122" s="149">
        <f t="shared" si="7"/>
        <v>0</v>
      </c>
      <c r="J122" s="13"/>
    </row>
    <row r="123" spans="2:10" x14ac:dyDescent="0.3">
      <c r="B123" s="178" t="str">
        <f>'III. Data Inputs-BE'!B114</f>
        <v>Population 8</v>
      </c>
      <c r="C123" s="175">
        <f>'III. Data Inputs-BE'!$J$82</f>
        <v>0</v>
      </c>
      <c r="D123" s="175">
        <f>'III. Data Inputs-BE'!J186</f>
        <v>0</v>
      </c>
      <c r="E123" s="176">
        <f>'III. Data Inputs-BE'!$D$100</f>
        <v>0</v>
      </c>
      <c r="F123" s="174">
        <f>'III. Data Inputs-BE'!$C$166</f>
        <v>0</v>
      </c>
      <c r="G123" s="174">
        <f>'III. Data Inputs-BE'!$C$114</f>
        <v>0</v>
      </c>
      <c r="H123" s="148">
        <f>C123*D123*E123*'III. Data Inputs-BE'!$G$45*F123*G123*0.68*0.001</f>
        <v>0</v>
      </c>
      <c r="I123" s="149">
        <f t="shared" si="7"/>
        <v>0</v>
      </c>
      <c r="J123" s="13"/>
    </row>
    <row r="124" spans="2:10" x14ac:dyDescent="0.3">
      <c r="B124" s="178" t="str">
        <f>'III. Data Inputs-BE'!B115</f>
        <v>Population 9</v>
      </c>
      <c r="C124" s="175">
        <f>'III. Data Inputs-BE'!$K$82</f>
        <v>0</v>
      </c>
      <c r="D124" s="175">
        <f>'III. Data Inputs-BE'!K186</f>
        <v>0</v>
      </c>
      <c r="E124" s="176">
        <f>'III. Data Inputs-BE'!$D$101</f>
        <v>0</v>
      </c>
      <c r="F124" s="174">
        <f>'III. Data Inputs-BE'!$C$166</f>
        <v>0</v>
      </c>
      <c r="G124" s="174">
        <f>'III. Data Inputs-BE'!$C$115</f>
        <v>0</v>
      </c>
      <c r="H124" s="148">
        <f>C124*D124*E124*'III. Data Inputs-BE'!$G$45*F124*G124*0.68*0.001</f>
        <v>0</v>
      </c>
      <c r="I124" s="149">
        <f t="shared" si="7"/>
        <v>0</v>
      </c>
      <c r="J124" s="13"/>
    </row>
    <row r="125" spans="2:10" ht="13.5" thickBot="1" x14ac:dyDescent="0.35">
      <c r="B125" s="193" t="str">
        <f>'III. Data Inputs-BE'!B116</f>
        <v>Population 10</v>
      </c>
      <c r="C125" s="189">
        <f>'III. Data Inputs-BE'!$L$82</f>
        <v>0</v>
      </c>
      <c r="D125" s="189">
        <f>'III. Data Inputs-BE'!L186</f>
        <v>0</v>
      </c>
      <c r="E125" s="190">
        <f>'III. Data Inputs-BE'!$D$102</f>
        <v>0</v>
      </c>
      <c r="F125" s="191">
        <f>'III. Data Inputs-BE'!$C$166</f>
        <v>0</v>
      </c>
      <c r="G125" s="191">
        <f>'III. Data Inputs-BE'!$C$116</f>
        <v>0</v>
      </c>
      <c r="H125" s="159">
        <f>C125*D125*E125*'III. Data Inputs-BE'!$G$45*F125*G125*0.68*0.001</f>
        <v>0</v>
      </c>
      <c r="I125" s="161">
        <f t="shared" si="7"/>
        <v>0</v>
      </c>
      <c r="J125" s="13"/>
    </row>
    <row r="126" spans="2:10" ht="13.5" thickBot="1" x14ac:dyDescent="0.35">
      <c r="B126" s="182" t="s">
        <v>414</v>
      </c>
      <c r="C126" s="183"/>
      <c r="D126" s="183"/>
      <c r="E126" s="183"/>
      <c r="F126" s="183"/>
      <c r="G126" s="184"/>
      <c r="H126" s="151">
        <f>SUM(H116:H125)</f>
        <v>0</v>
      </c>
      <c r="I126" s="154">
        <f>SUM(I116:I125)</f>
        <v>0</v>
      </c>
      <c r="J126" s="13"/>
    </row>
    <row r="127" spans="2:10" ht="13.5" thickBot="1" x14ac:dyDescent="0.35">
      <c r="H127" s="58"/>
      <c r="I127" s="58"/>
      <c r="J127" s="13"/>
    </row>
    <row r="128" spans="2:10" ht="13.5" thickBot="1" x14ac:dyDescent="0.35">
      <c r="B128" s="172">
        <f>'III. Data Inputs-BE'!C129</f>
        <v>0</v>
      </c>
      <c r="H128" s="41"/>
      <c r="J128" s="13"/>
    </row>
    <row r="129" spans="2:10" s="4" customFormat="1" ht="16.5" thickBot="1" x14ac:dyDescent="0.45">
      <c r="B129" s="155" t="s">
        <v>406</v>
      </c>
      <c r="C129" s="162" t="s">
        <v>407</v>
      </c>
      <c r="D129" s="162" t="s">
        <v>408</v>
      </c>
      <c r="E129" s="162" t="s">
        <v>409</v>
      </c>
      <c r="F129" s="162" t="s">
        <v>410</v>
      </c>
      <c r="G129" s="162" t="s">
        <v>411</v>
      </c>
      <c r="H129" s="156" t="s">
        <v>412</v>
      </c>
      <c r="I129" s="163" t="s">
        <v>413</v>
      </c>
    </row>
    <row r="130" spans="2:10" x14ac:dyDescent="0.3">
      <c r="B130" s="185" t="str">
        <f>'III. Data Inputs-BE'!B107</f>
        <v>Population 1</v>
      </c>
      <c r="C130" s="186">
        <f>'III. Data Inputs-BE'!$C$82</f>
        <v>1</v>
      </c>
      <c r="D130" s="186">
        <f>'III. Data Inputs-BE'!C187</f>
        <v>0</v>
      </c>
      <c r="E130" s="187">
        <f>'V. BE CH4,AS'!$C$19</f>
        <v>0</v>
      </c>
      <c r="F130" s="186">
        <f>'III. Data Inputs-BE'!$C$167</f>
        <v>0</v>
      </c>
      <c r="G130" s="186">
        <f>'III. Data Inputs-BE'!$C$107</f>
        <v>0.17</v>
      </c>
      <c r="H130" s="157">
        <f>C130*D130*E130*'III. Data Inputs-BE'!$G$45*F130*G130*0.68*0.001</f>
        <v>0</v>
      </c>
      <c r="I130" s="158">
        <f t="shared" ref="I130:I139" si="8">H130*gwp_ch4</f>
        <v>0</v>
      </c>
      <c r="J130" s="13"/>
    </row>
    <row r="131" spans="2:10" x14ac:dyDescent="0.3">
      <c r="B131" s="178" t="str">
        <f>'III. Data Inputs-BE'!B108</f>
        <v>Population 2</v>
      </c>
      <c r="C131" s="175">
        <f>'III. Data Inputs-BE'!$D$82</f>
        <v>2</v>
      </c>
      <c r="D131" s="175">
        <f>'III. Data Inputs-BE'!D187</f>
        <v>0</v>
      </c>
      <c r="E131" s="176">
        <f>'V. BE CH4,AS'!$C$67</f>
        <v>0</v>
      </c>
      <c r="F131" s="174">
        <f>'III. Data Inputs-BE'!$C$167</f>
        <v>0</v>
      </c>
      <c r="G131" s="174">
        <f>'III. Data Inputs-BE'!$C$108</f>
        <v>0.17</v>
      </c>
      <c r="H131" s="147">
        <f>C131*D131*E131*'III. Data Inputs-BE'!$G$45*F131*G131*0.68*0.001</f>
        <v>0</v>
      </c>
      <c r="I131" s="149">
        <f t="shared" si="8"/>
        <v>0</v>
      </c>
      <c r="J131" s="13"/>
    </row>
    <row r="132" spans="2:10" x14ac:dyDescent="0.3">
      <c r="B132" s="178" t="str">
        <f>'III. Data Inputs-BE'!B109</f>
        <v>Population 3</v>
      </c>
      <c r="C132" s="175">
        <f>'III. Data Inputs-BE'!$E$82</f>
        <v>0</v>
      </c>
      <c r="D132" s="175">
        <f>'III. Data Inputs-BE'!E187</f>
        <v>0</v>
      </c>
      <c r="E132" s="176">
        <f>'III. Data Inputs-BE'!$D$95</f>
        <v>0</v>
      </c>
      <c r="F132" s="174">
        <f>'III. Data Inputs-BE'!$C$167</f>
        <v>0</v>
      </c>
      <c r="G132" s="174">
        <f>'III. Data Inputs-BE'!$C$109</f>
        <v>0</v>
      </c>
      <c r="H132" s="147">
        <f>C132*D132*E132*'III. Data Inputs-BE'!$G$45*F132*G132*0.68*0.001</f>
        <v>0</v>
      </c>
      <c r="I132" s="149">
        <f t="shared" si="8"/>
        <v>0</v>
      </c>
      <c r="J132" s="13"/>
    </row>
    <row r="133" spans="2:10" x14ac:dyDescent="0.3">
      <c r="B133" s="178" t="str">
        <f>'III. Data Inputs-BE'!B110</f>
        <v>Population 4</v>
      </c>
      <c r="C133" s="175">
        <f>'III. Data Inputs-BE'!$F$82</f>
        <v>0</v>
      </c>
      <c r="D133" s="175">
        <f>'III. Data Inputs-BE'!F187</f>
        <v>0</v>
      </c>
      <c r="E133" s="176">
        <f>'III. Data Inputs-BE'!$D$96</f>
        <v>0</v>
      </c>
      <c r="F133" s="174">
        <f>'III. Data Inputs-BE'!$C$167</f>
        <v>0</v>
      </c>
      <c r="G133" s="174">
        <f>'III. Data Inputs-BE'!$C$110</f>
        <v>0</v>
      </c>
      <c r="H133" s="147">
        <f>C133*D133*E133*'III. Data Inputs-BE'!$G$45*F133*G133*0.68*0.001</f>
        <v>0</v>
      </c>
      <c r="I133" s="149">
        <f t="shared" si="8"/>
        <v>0</v>
      </c>
      <c r="J133" s="13"/>
    </row>
    <row r="134" spans="2:10" x14ac:dyDescent="0.3">
      <c r="B134" s="178" t="str">
        <f>'III. Data Inputs-BE'!B111</f>
        <v>Population 5</v>
      </c>
      <c r="C134" s="175">
        <f>'III. Data Inputs-BE'!$G$82</f>
        <v>0</v>
      </c>
      <c r="D134" s="175">
        <f>'III. Data Inputs-BE'!G187</f>
        <v>0</v>
      </c>
      <c r="E134" s="176">
        <f>'III. Data Inputs-BE'!$D$97</f>
        <v>0</v>
      </c>
      <c r="F134" s="174">
        <f>'III. Data Inputs-BE'!$C$167</f>
        <v>0</v>
      </c>
      <c r="G134" s="174">
        <f>'III. Data Inputs-BE'!$C$111</f>
        <v>0</v>
      </c>
      <c r="H134" s="147">
        <f>C134*D134*E134*'III. Data Inputs-BE'!$G$45*F134*G134*0.68*0.001</f>
        <v>0</v>
      </c>
      <c r="I134" s="149">
        <f t="shared" si="8"/>
        <v>0</v>
      </c>
      <c r="J134" s="13"/>
    </row>
    <row r="135" spans="2:10" x14ac:dyDescent="0.3">
      <c r="B135" s="178" t="str">
        <f>'III. Data Inputs-BE'!B112</f>
        <v>Population 6</v>
      </c>
      <c r="C135" s="175">
        <f>'III. Data Inputs-BE'!$H$82</f>
        <v>0</v>
      </c>
      <c r="D135" s="175">
        <f>'III. Data Inputs-BE'!H187</f>
        <v>0</v>
      </c>
      <c r="E135" s="176">
        <f>'III. Data Inputs-BE'!$D$98</f>
        <v>0</v>
      </c>
      <c r="F135" s="174">
        <f>'III. Data Inputs-BE'!$C$167</f>
        <v>0</v>
      </c>
      <c r="G135" s="174">
        <f>'III. Data Inputs-BE'!$C$112</f>
        <v>0</v>
      </c>
      <c r="H135" s="147">
        <f>C135*D135*E135*'III. Data Inputs-BE'!$G$45*F135*G135*0.68*0.001</f>
        <v>0</v>
      </c>
      <c r="I135" s="149">
        <f t="shared" si="8"/>
        <v>0</v>
      </c>
      <c r="J135" s="13"/>
    </row>
    <row r="136" spans="2:10" x14ac:dyDescent="0.3">
      <c r="B136" s="178" t="str">
        <f>'III. Data Inputs-BE'!B113</f>
        <v>Population 7</v>
      </c>
      <c r="C136" s="175">
        <f>'III. Data Inputs-BE'!$I$82</f>
        <v>0</v>
      </c>
      <c r="D136" s="175">
        <f>'III. Data Inputs-BE'!I187</f>
        <v>0</v>
      </c>
      <c r="E136" s="176">
        <f>'III. Data Inputs-BE'!$D$99</f>
        <v>0</v>
      </c>
      <c r="F136" s="174">
        <f>'III. Data Inputs-BE'!$C$167</f>
        <v>0</v>
      </c>
      <c r="G136" s="174">
        <f>'III. Data Inputs-BE'!$C$113</f>
        <v>0</v>
      </c>
      <c r="H136" s="147">
        <f>C136*D136*E136*'III. Data Inputs-BE'!$G$45*F136*G136*0.68*0.001</f>
        <v>0</v>
      </c>
      <c r="I136" s="149">
        <f t="shared" si="8"/>
        <v>0</v>
      </c>
      <c r="J136" s="13"/>
    </row>
    <row r="137" spans="2:10" x14ac:dyDescent="0.3">
      <c r="B137" s="178" t="str">
        <f>'III. Data Inputs-BE'!B114</f>
        <v>Population 8</v>
      </c>
      <c r="C137" s="175">
        <f>'III. Data Inputs-BE'!$J$82</f>
        <v>0</v>
      </c>
      <c r="D137" s="175">
        <f>'III. Data Inputs-BE'!J187</f>
        <v>0</v>
      </c>
      <c r="E137" s="176">
        <f>'III. Data Inputs-BE'!$D$100</f>
        <v>0</v>
      </c>
      <c r="F137" s="174">
        <f>'III. Data Inputs-BE'!$C$167</f>
        <v>0</v>
      </c>
      <c r="G137" s="174">
        <f>'III. Data Inputs-BE'!$C$114</f>
        <v>0</v>
      </c>
      <c r="H137" s="147">
        <f>C137*D137*E137*'III. Data Inputs-BE'!$G$45*F137*G137*0.68*0.001</f>
        <v>0</v>
      </c>
      <c r="I137" s="149">
        <f t="shared" si="8"/>
        <v>0</v>
      </c>
      <c r="J137" s="13"/>
    </row>
    <row r="138" spans="2:10" x14ac:dyDescent="0.3">
      <c r="B138" s="178" t="str">
        <f>'III. Data Inputs-BE'!B115</f>
        <v>Population 9</v>
      </c>
      <c r="C138" s="175">
        <f>'III. Data Inputs-BE'!$K$82</f>
        <v>0</v>
      </c>
      <c r="D138" s="175">
        <f>'III. Data Inputs-BE'!K187</f>
        <v>0</v>
      </c>
      <c r="E138" s="176">
        <f>'III. Data Inputs-BE'!$D$101</f>
        <v>0</v>
      </c>
      <c r="F138" s="174">
        <f>'III. Data Inputs-BE'!$C$167</f>
        <v>0</v>
      </c>
      <c r="G138" s="174">
        <f>'III. Data Inputs-BE'!$C$115</f>
        <v>0</v>
      </c>
      <c r="H138" s="147">
        <f>C138*D138*E138*'III. Data Inputs-BE'!$G$45*F138*G138*0.68*0.001</f>
        <v>0</v>
      </c>
      <c r="I138" s="149">
        <f t="shared" si="8"/>
        <v>0</v>
      </c>
      <c r="J138" s="13"/>
    </row>
    <row r="139" spans="2:10" ht="13.5" thickBot="1" x14ac:dyDescent="0.35">
      <c r="B139" s="193" t="str">
        <f>'III. Data Inputs-BE'!B116</f>
        <v>Population 10</v>
      </c>
      <c r="C139" s="189">
        <f>'III. Data Inputs-BE'!$L$82</f>
        <v>0</v>
      </c>
      <c r="D139" s="189">
        <f>'III. Data Inputs-BE'!L187</f>
        <v>0</v>
      </c>
      <c r="E139" s="190">
        <f>'III. Data Inputs-BE'!$D$102</f>
        <v>0</v>
      </c>
      <c r="F139" s="191">
        <f>'III. Data Inputs-BE'!$C$167</f>
        <v>0</v>
      </c>
      <c r="G139" s="191">
        <f>'III. Data Inputs-BE'!$C$116</f>
        <v>0</v>
      </c>
      <c r="H139" s="160">
        <f>C139*D139*E139*'III. Data Inputs-BE'!$G$45*F139*G139*0.68*0.001</f>
        <v>0</v>
      </c>
      <c r="I139" s="161">
        <f t="shared" si="8"/>
        <v>0</v>
      </c>
      <c r="J139" s="13"/>
    </row>
    <row r="140" spans="2:10" ht="13.5" thickBot="1" x14ac:dyDescent="0.35">
      <c r="B140" s="182" t="s">
        <v>414</v>
      </c>
      <c r="C140" s="183"/>
      <c r="D140" s="183"/>
      <c r="E140" s="183"/>
      <c r="F140" s="183"/>
      <c r="G140" s="195"/>
      <c r="H140" s="196">
        <f>SUM(H130:H139)</f>
        <v>0</v>
      </c>
      <c r="I140" s="154">
        <f>SUM(I130:I139)</f>
        <v>0</v>
      </c>
      <c r="J140" s="13"/>
    </row>
    <row r="141" spans="2:10" ht="13.5" thickBot="1" x14ac:dyDescent="0.35">
      <c r="H141" s="58"/>
      <c r="I141" s="58"/>
      <c r="J141" s="13"/>
    </row>
    <row r="142" spans="2:10" ht="13.5" thickBot="1" x14ac:dyDescent="0.35">
      <c r="B142" s="172">
        <f>'III. Data Inputs-BE'!C130</f>
        <v>0</v>
      </c>
      <c r="H142" s="41"/>
      <c r="J142" s="13"/>
    </row>
    <row r="143" spans="2:10" s="4" customFormat="1" ht="16.5" thickBot="1" x14ac:dyDescent="0.45">
      <c r="B143" s="155" t="s">
        <v>406</v>
      </c>
      <c r="C143" s="162" t="s">
        <v>407</v>
      </c>
      <c r="D143" s="162" t="s">
        <v>408</v>
      </c>
      <c r="E143" s="162" t="s">
        <v>409</v>
      </c>
      <c r="F143" s="162" t="s">
        <v>410</v>
      </c>
      <c r="G143" s="162" t="s">
        <v>411</v>
      </c>
      <c r="H143" s="156" t="s">
        <v>412</v>
      </c>
      <c r="I143" s="163" t="s">
        <v>413</v>
      </c>
    </row>
    <row r="144" spans="2:10" x14ac:dyDescent="0.3">
      <c r="B144" s="185" t="str">
        <f>'III. Data Inputs-BE'!B107</f>
        <v>Population 1</v>
      </c>
      <c r="C144" s="186">
        <f>'III. Data Inputs-BE'!$C$82</f>
        <v>1</v>
      </c>
      <c r="D144" s="186">
        <f>'III. Data Inputs-BE'!C188</f>
        <v>0</v>
      </c>
      <c r="E144" s="187">
        <f>'V. BE CH4,AS'!$C$19</f>
        <v>0</v>
      </c>
      <c r="F144" s="186">
        <f>'III. Data Inputs-BE'!$C$168</f>
        <v>0</v>
      </c>
      <c r="G144" s="186">
        <f>'III. Data Inputs-BE'!$C$107</f>
        <v>0.17</v>
      </c>
      <c r="H144" s="157">
        <f>C144*D144*E144*'III. Data Inputs-BE'!$G$45*F144*G144*0.68*0.001</f>
        <v>0</v>
      </c>
      <c r="I144" s="158">
        <f t="shared" ref="I144:I153" si="9">H144*gwp_ch4</f>
        <v>0</v>
      </c>
      <c r="J144" s="13"/>
    </row>
    <row r="145" spans="2:10" x14ac:dyDescent="0.3">
      <c r="B145" s="178" t="str">
        <f>'III. Data Inputs-BE'!B108</f>
        <v>Population 2</v>
      </c>
      <c r="C145" s="175">
        <f>'III. Data Inputs-BE'!$D$82</f>
        <v>2</v>
      </c>
      <c r="D145" s="175">
        <f>'III. Data Inputs-BE'!D188</f>
        <v>0</v>
      </c>
      <c r="E145" s="176">
        <f>'V. BE CH4,AS'!$C$67</f>
        <v>0</v>
      </c>
      <c r="F145" s="174">
        <f>'III. Data Inputs-BE'!$C$168</f>
        <v>0</v>
      </c>
      <c r="G145" s="174">
        <f>'III. Data Inputs-BE'!$C$108</f>
        <v>0.17</v>
      </c>
      <c r="H145" s="148">
        <f>C145*D145*E145*'III. Data Inputs-BE'!$G$45*F145*G145*0.68*0.001</f>
        <v>0</v>
      </c>
      <c r="I145" s="149">
        <f t="shared" si="9"/>
        <v>0</v>
      </c>
      <c r="J145" s="13"/>
    </row>
    <row r="146" spans="2:10" x14ac:dyDescent="0.3">
      <c r="B146" s="178" t="str">
        <f>'III. Data Inputs-BE'!B109</f>
        <v>Population 3</v>
      </c>
      <c r="C146" s="175">
        <f>'III. Data Inputs-BE'!$E$82</f>
        <v>0</v>
      </c>
      <c r="D146" s="175">
        <f>'III. Data Inputs-BE'!E188</f>
        <v>0</v>
      </c>
      <c r="E146" s="176">
        <f>'III. Data Inputs-BE'!$D$95</f>
        <v>0</v>
      </c>
      <c r="F146" s="174">
        <f>'III. Data Inputs-BE'!$C$168</f>
        <v>0</v>
      </c>
      <c r="G146" s="174">
        <f>'III. Data Inputs-BE'!$C$109</f>
        <v>0</v>
      </c>
      <c r="H146" s="148">
        <f>C146*D146*E146*'III. Data Inputs-BE'!$G$45*F146*G146*0.68*0.001</f>
        <v>0</v>
      </c>
      <c r="I146" s="149">
        <f t="shared" si="9"/>
        <v>0</v>
      </c>
      <c r="J146" s="13"/>
    </row>
    <row r="147" spans="2:10" x14ac:dyDescent="0.3">
      <c r="B147" s="178" t="str">
        <f>'III. Data Inputs-BE'!B110</f>
        <v>Population 4</v>
      </c>
      <c r="C147" s="175">
        <f>'III. Data Inputs-BE'!$F$82</f>
        <v>0</v>
      </c>
      <c r="D147" s="175">
        <f>'III. Data Inputs-BE'!F188</f>
        <v>0</v>
      </c>
      <c r="E147" s="176">
        <f>'III. Data Inputs-BE'!$D$96</f>
        <v>0</v>
      </c>
      <c r="F147" s="174">
        <f>'III. Data Inputs-BE'!$C$168</f>
        <v>0</v>
      </c>
      <c r="G147" s="174">
        <f>'III. Data Inputs-BE'!$C$110</f>
        <v>0</v>
      </c>
      <c r="H147" s="148">
        <f>C147*D147*E147*'III. Data Inputs-BE'!$G$45*F147*G147*0.68*0.001</f>
        <v>0</v>
      </c>
      <c r="I147" s="149">
        <f t="shared" si="9"/>
        <v>0</v>
      </c>
      <c r="J147" s="13"/>
    </row>
    <row r="148" spans="2:10" x14ac:dyDescent="0.3">
      <c r="B148" s="178" t="str">
        <f>'III. Data Inputs-BE'!B111</f>
        <v>Population 5</v>
      </c>
      <c r="C148" s="175">
        <f>'III. Data Inputs-BE'!$G$82</f>
        <v>0</v>
      </c>
      <c r="D148" s="175">
        <f>'III. Data Inputs-BE'!G188</f>
        <v>0</v>
      </c>
      <c r="E148" s="176">
        <f>'III. Data Inputs-BE'!$D$97</f>
        <v>0</v>
      </c>
      <c r="F148" s="174">
        <f>'III. Data Inputs-BE'!$C$168</f>
        <v>0</v>
      </c>
      <c r="G148" s="174">
        <f>'III. Data Inputs-BE'!$C$111</f>
        <v>0</v>
      </c>
      <c r="H148" s="148">
        <f>C148*D148*E148*'III. Data Inputs-BE'!$G$45*F148*G148*0.68*0.001</f>
        <v>0</v>
      </c>
      <c r="I148" s="149">
        <f t="shared" si="9"/>
        <v>0</v>
      </c>
      <c r="J148" s="13"/>
    </row>
    <row r="149" spans="2:10" x14ac:dyDescent="0.3">
      <c r="B149" s="178" t="str">
        <f>'III. Data Inputs-BE'!B112</f>
        <v>Population 6</v>
      </c>
      <c r="C149" s="175">
        <f>'III. Data Inputs-BE'!$H$82</f>
        <v>0</v>
      </c>
      <c r="D149" s="175">
        <f>'III. Data Inputs-BE'!H188</f>
        <v>0</v>
      </c>
      <c r="E149" s="176">
        <f>'III. Data Inputs-BE'!$D$98</f>
        <v>0</v>
      </c>
      <c r="F149" s="174">
        <f>'III. Data Inputs-BE'!$C$168</f>
        <v>0</v>
      </c>
      <c r="G149" s="174">
        <f>'III. Data Inputs-BE'!$C$112</f>
        <v>0</v>
      </c>
      <c r="H149" s="148">
        <f>C149*D149*E149*'III. Data Inputs-BE'!$G$45*F149*G149*0.68*0.001</f>
        <v>0</v>
      </c>
      <c r="I149" s="149">
        <f t="shared" si="9"/>
        <v>0</v>
      </c>
      <c r="J149" s="13"/>
    </row>
    <row r="150" spans="2:10" x14ac:dyDescent="0.3">
      <c r="B150" s="178" t="str">
        <f>'III. Data Inputs-BE'!B113</f>
        <v>Population 7</v>
      </c>
      <c r="C150" s="175">
        <f>'III. Data Inputs-BE'!$I$82</f>
        <v>0</v>
      </c>
      <c r="D150" s="175">
        <f>'III. Data Inputs-BE'!I188</f>
        <v>0</v>
      </c>
      <c r="E150" s="176">
        <f>'III. Data Inputs-BE'!$D$99</f>
        <v>0</v>
      </c>
      <c r="F150" s="174">
        <f>'III. Data Inputs-BE'!$C$168</f>
        <v>0</v>
      </c>
      <c r="G150" s="174">
        <f>'III. Data Inputs-BE'!$C$113</f>
        <v>0</v>
      </c>
      <c r="H150" s="148">
        <f>C150*D150*E150*'III. Data Inputs-BE'!$G$45*F150*G150*0.68*0.001</f>
        <v>0</v>
      </c>
      <c r="I150" s="149">
        <f t="shared" si="9"/>
        <v>0</v>
      </c>
      <c r="J150" s="13"/>
    </row>
    <row r="151" spans="2:10" x14ac:dyDescent="0.3">
      <c r="B151" s="178" t="str">
        <f>'III. Data Inputs-BE'!B114</f>
        <v>Population 8</v>
      </c>
      <c r="C151" s="175">
        <f>'III. Data Inputs-BE'!$J$82</f>
        <v>0</v>
      </c>
      <c r="D151" s="175">
        <f>'III. Data Inputs-BE'!J188</f>
        <v>0</v>
      </c>
      <c r="E151" s="176">
        <f>'III. Data Inputs-BE'!$D$100</f>
        <v>0</v>
      </c>
      <c r="F151" s="174">
        <f>'III. Data Inputs-BE'!$C$168</f>
        <v>0</v>
      </c>
      <c r="G151" s="174">
        <f>'III. Data Inputs-BE'!$C$114</f>
        <v>0</v>
      </c>
      <c r="H151" s="148">
        <f>C151*D151*E151*'III. Data Inputs-BE'!$G$45*F151*G151*0.68*0.001</f>
        <v>0</v>
      </c>
      <c r="I151" s="149">
        <f t="shared" si="9"/>
        <v>0</v>
      </c>
      <c r="J151" s="13"/>
    </row>
    <row r="152" spans="2:10" x14ac:dyDescent="0.3">
      <c r="B152" s="178" t="str">
        <f>'III. Data Inputs-BE'!B115</f>
        <v>Population 9</v>
      </c>
      <c r="C152" s="175">
        <f>'III. Data Inputs-BE'!$K$82</f>
        <v>0</v>
      </c>
      <c r="D152" s="175">
        <f>'III. Data Inputs-BE'!K188</f>
        <v>0</v>
      </c>
      <c r="E152" s="176">
        <f>'III. Data Inputs-BE'!$D$101</f>
        <v>0</v>
      </c>
      <c r="F152" s="174">
        <f>'III. Data Inputs-BE'!$C$168</f>
        <v>0</v>
      </c>
      <c r="G152" s="174">
        <f>'III. Data Inputs-BE'!$C$115</f>
        <v>0</v>
      </c>
      <c r="H152" s="148">
        <f>C152*D152*E152*'III. Data Inputs-BE'!$G$45*F152*G152*0.68*0.001</f>
        <v>0</v>
      </c>
      <c r="I152" s="149">
        <f t="shared" si="9"/>
        <v>0</v>
      </c>
      <c r="J152" s="13"/>
    </row>
    <row r="153" spans="2:10" ht="13.5" thickBot="1" x14ac:dyDescent="0.35">
      <c r="B153" s="193" t="str">
        <f>'III. Data Inputs-BE'!B116</f>
        <v>Population 10</v>
      </c>
      <c r="C153" s="189">
        <f>'III. Data Inputs-BE'!$L$82</f>
        <v>0</v>
      </c>
      <c r="D153" s="189">
        <f>'III. Data Inputs-BE'!L188</f>
        <v>0</v>
      </c>
      <c r="E153" s="190">
        <f>'III. Data Inputs-BE'!$D$102</f>
        <v>0</v>
      </c>
      <c r="F153" s="191">
        <f>'III. Data Inputs-BE'!$C$168</f>
        <v>0</v>
      </c>
      <c r="G153" s="191">
        <f>'III. Data Inputs-BE'!$C$116</f>
        <v>0</v>
      </c>
      <c r="H153" s="159">
        <f>C153*D153*E153*'III. Data Inputs-BE'!$G$45*F153*G153*0.68*0.001</f>
        <v>0</v>
      </c>
      <c r="I153" s="161">
        <f t="shared" si="9"/>
        <v>0</v>
      </c>
      <c r="J153" s="13"/>
    </row>
    <row r="154" spans="2:10" ht="13.5" thickBot="1" x14ac:dyDescent="0.35">
      <c r="B154" s="182" t="s">
        <v>414</v>
      </c>
      <c r="C154" s="183"/>
      <c r="D154" s="183"/>
      <c r="E154" s="183"/>
      <c r="F154" s="183"/>
      <c r="G154" s="195"/>
      <c r="H154" s="196">
        <f>SUM(H144:H153)</f>
        <v>0</v>
      </c>
      <c r="I154" s="154">
        <f>SUM(I144:I153)</f>
        <v>0</v>
      </c>
      <c r="J154" s="13"/>
    </row>
    <row r="155" spans="2:10" ht="13.5" thickBot="1" x14ac:dyDescent="0.35">
      <c r="H155" s="58"/>
      <c r="I155" s="58"/>
      <c r="J155" s="13"/>
    </row>
    <row r="156" spans="2:10" ht="13.5" thickBot="1" x14ac:dyDescent="0.35">
      <c r="B156" s="172">
        <f>'III. Data Inputs-BE'!C131</f>
        <v>0</v>
      </c>
      <c r="H156" s="41"/>
      <c r="J156" s="13"/>
    </row>
    <row r="157" spans="2:10" s="4" customFormat="1" ht="16.5" thickBot="1" x14ac:dyDescent="0.45">
      <c r="B157" s="155" t="s">
        <v>406</v>
      </c>
      <c r="C157" s="162" t="s">
        <v>407</v>
      </c>
      <c r="D157" s="162" t="s">
        <v>408</v>
      </c>
      <c r="E157" s="162" t="s">
        <v>409</v>
      </c>
      <c r="F157" s="162" t="s">
        <v>410</v>
      </c>
      <c r="G157" s="162" t="s">
        <v>411</v>
      </c>
      <c r="H157" s="156" t="s">
        <v>412</v>
      </c>
      <c r="I157" s="163" t="s">
        <v>413</v>
      </c>
    </row>
    <row r="158" spans="2:10" x14ac:dyDescent="0.3">
      <c r="B158" s="185" t="str">
        <f>'III. Data Inputs-BE'!B107</f>
        <v>Population 1</v>
      </c>
      <c r="C158" s="186">
        <f>'III. Data Inputs-BE'!$C$82</f>
        <v>1</v>
      </c>
      <c r="D158" s="186">
        <f>'III. Data Inputs-BE'!C189</f>
        <v>0</v>
      </c>
      <c r="E158" s="187">
        <f>'V. BE CH4,AS'!$C$19</f>
        <v>0</v>
      </c>
      <c r="F158" s="186">
        <f>'III. Data Inputs-BE'!$C$169</f>
        <v>0</v>
      </c>
      <c r="G158" s="186">
        <f>'III. Data Inputs-BE'!$C$107</f>
        <v>0.17</v>
      </c>
      <c r="H158" s="157">
        <f>C158*D158*E158*'III. Data Inputs-BE'!$G$45*F158*G158*0.68*0.001</f>
        <v>0</v>
      </c>
      <c r="I158" s="158">
        <f t="shared" ref="I158:I167" si="10">H158*gwp_ch4</f>
        <v>0</v>
      </c>
      <c r="J158" s="13"/>
    </row>
    <row r="159" spans="2:10" x14ac:dyDescent="0.3">
      <c r="B159" s="178" t="str">
        <f>'III. Data Inputs-BE'!B108</f>
        <v>Population 2</v>
      </c>
      <c r="C159" s="175">
        <f>'III. Data Inputs-BE'!$D$82</f>
        <v>2</v>
      </c>
      <c r="D159" s="175">
        <f>'III. Data Inputs-BE'!D189</f>
        <v>0</v>
      </c>
      <c r="E159" s="176">
        <f>'V. BE CH4,AS'!$C$67</f>
        <v>0</v>
      </c>
      <c r="F159" s="174">
        <f>'III. Data Inputs-BE'!$C$169</f>
        <v>0</v>
      </c>
      <c r="G159" s="174">
        <f>'III. Data Inputs-BE'!$C$108</f>
        <v>0.17</v>
      </c>
      <c r="H159" s="148">
        <f>C159*D159*E159*'III. Data Inputs-BE'!$G$45*F159*G159*0.68*0.001</f>
        <v>0</v>
      </c>
      <c r="I159" s="149">
        <f t="shared" si="10"/>
        <v>0</v>
      </c>
      <c r="J159" s="13"/>
    </row>
    <row r="160" spans="2:10" x14ac:dyDescent="0.3">
      <c r="B160" s="178" t="str">
        <f>'III. Data Inputs-BE'!B109</f>
        <v>Population 3</v>
      </c>
      <c r="C160" s="175">
        <f>'III. Data Inputs-BE'!$E$82</f>
        <v>0</v>
      </c>
      <c r="D160" s="175">
        <f>'III. Data Inputs-BE'!E189</f>
        <v>0</v>
      </c>
      <c r="E160" s="176">
        <f>'III. Data Inputs-BE'!$D$95</f>
        <v>0</v>
      </c>
      <c r="F160" s="174">
        <f>'III. Data Inputs-BE'!$C$169</f>
        <v>0</v>
      </c>
      <c r="G160" s="174">
        <f>'III. Data Inputs-BE'!$C$109</f>
        <v>0</v>
      </c>
      <c r="H160" s="148">
        <f>C160*D160*E160*'III. Data Inputs-BE'!$G$45*F160*G160*0.68*0.001</f>
        <v>0</v>
      </c>
      <c r="I160" s="149">
        <f t="shared" si="10"/>
        <v>0</v>
      </c>
      <c r="J160" s="13"/>
    </row>
    <row r="161" spans="1:10" x14ac:dyDescent="0.3">
      <c r="B161" s="178" t="str">
        <f>'III. Data Inputs-BE'!B110</f>
        <v>Population 4</v>
      </c>
      <c r="C161" s="175">
        <f>'III. Data Inputs-BE'!$F$82</f>
        <v>0</v>
      </c>
      <c r="D161" s="175">
        <f>'III. Data Inputs-BE'!F189</f>
        <v>0</v>
      </c>
      <c r="E161" s="176">
        <f>'III. Data Inputs-BE'!$D$96</f>
        <v>0</v>
      </c>
      <c r="F161" s="174">
        <f>'III. Data Inputs-BE'!$C$169</f>
        <v>0</v>
      </c>
      <c r="G161" s="174">
        <f>'III. Data Inputs-BE'!$C$110</f>
        <v>0</v>
      </c>
      <c r="H161" s="148">
        <f>C161*D161*E161*'III. Data Inputs-BE'!$G$45*F161*G161*0.68*0.001</f>
        <v>0</v>
      </c>
      <c r="I161" s="149">
        <f t="shared" si="10"/>
        <v>0</v>
      </c>
      <c r="J161" s="13"/>
    </row>
    <row r="162" spans="1:10" x14ac:dyDescent="0.3">
      <c r="B162" s="178" t="str">
        <f>'III. Data Inputs-BE'!B111</f>
        <v>Population 5</v>
      </c>
      <c r="C162" s="175">
        <f>'III. Data Inputs-BE'!$G$82</f>
        <v>0</v>
      </c>
      <c r="D162" s="175">
        <f>'III. Data Inputs-BE'!G189</f>
        <v>0</v>
      </c>
      <c r="E162" s="176">
        <f>'III. Data Inputs-BE'!$D$97</f>
        <v>0</v>
      </c>
      <c r="F162" s="174">
        <f>'III. Data Inputs-BE'!$C$169</f>
        <v>0</v>
      </c>
      <c r="G162" s="174">
        <f>'III. Data Inputs-BE'!$C$111</f>
        <v>0</v>
      </c>
      <c r="H162" s="148">
        <f>C162*D162*E162*'III. Data Inputs-BE'!$G$45*F162*G162*0.68*0.001</f>
        <v>0</v>
      </c>
      <c r="I162" s="149">
        <f t="shared" si="10"/>
        <v>0</v>
      </c>
      <c r="J162" s="13"/>
    </row>
    <row r="163" spans="1:10" x14ac:dyDescent="0.3">
      <c r="B163" s="178" t="str">
        <f>'III. Data Inputs-BE'!B112</f>
        <v>Population 6</v>
      </c>
      <c r="C163" s="175">
        <f>'III. Data Inputs-BE'!$H$82</f>
        <v>0</v>
      </c>
      <c r="D163" s="175">
        <f>'III. Data Inputs-BE'!H189</f>
        <v>0</v>
      </c>
      <c r="E163" s="176">
        <f>'III. Data Inputs-BE'!$D$98</f>
        <v>0</v>
      </c>
      <c r="F163" s="174">
        <f>'III. Data Inputs-BE'!$C$169</f>
        <v>0</v>
      </c>
      <c r="G163" s="174">
        <f>'III. Data Inputs-BE'!$C$112</f>
        <v>0</v>
      </c>
      <c r="H163" s="148">
        <f>C163*D163*E163*'III. Data Inputs-BE'!$G$45*F163*G163*0.68*0.001</f>
        <v>0</v>
      </c>
      <c r="I163" s="149">
        <f t="shared" si="10"/>
        <v>0</v>
      </c>
      <c r="J163" s="13"/>
    </row>
    <row r="164" spans="1:10" x14ac:dyDescent="0.3">
      <c r="B164" s="178" t="str">
        <f>'III. Data Inputs-BE'!B113</f>
        <v>Population 7</v>
      </c>
      <c r="C164" s="175">
        <f>'III. Data Inputs-BE'!$I$82</f>
        <v>0</v>
      </c>
      <c r="D164" s="175">
        <f>'III. Data Inputs-BE'!I189</f>
        <v>0</v>
      </c>
      <c r="E164" s="176">
        <f>'III. Data Inputs-BE'!$D$99</f>
        <v>0</v>
      </c>
      <c r="F164" s="174">
        <f>'III. Data Inputs-BE'!$C$169</f>
        <v>0</v>
      </c>
      <c r="G164" s="174">
        <f>'III. Data Inputs-BE'!$C$113</f>
        <v>0</v>
      </c>
      <c r="H164" s="148">
        <f>C164*D164*E164*'III. Data Inputs-BE'!$G$45*F164*G164*0.68*0.001</f>
        <v>0</v>
      </c>
      <c r="I164" s="149">
        <f t="shared" si="10"/>
        <v>0</v>
      </c>
      <c r="J164" s="13"/>
    </row>
    <row r="165" spans="1:10" x14ac:dyDescent="0.3">
      <c r="B165" s="178" t="str">
        <f>'III. Data Inputs-BE'!B114</f>
        <v>Population 8</v>
      </c>
      <c r="C165" s="175">
        <f>'III. Data Inputs-BE'!$J$82</f>
        <v>0</v>
      </c>
      <c r="D165" s="175">
        <f>'III. Data Inputs-BE'!J189</f>
        <v>0</v>
      </c>
      <c r="E165" s="176">
        <f>'III. Data Inputs-BE'!$D$100</f>
        <v>0</v>
      </c>
      <c r="F165" s="174">
        <f>'III. Data Inputs-BE'!$C$169</f>
        <v>0</v>
      </c>
      <c r="G165" s="174">
        <f>'III. Data Inputs-BE'!$C$114</f>
        <v>0</v>
      </c>
      <c r="H165" s="148">
        <f>C165*D165*E165*'III. Data Inputs-BE'!$G$45*F165*G165*0.68*0.001</f>
        <v>0</v>
      </c>
      <c r="I165" s="149">
        <f t="shared" si="10"/>
        <v>0</v>
      </c>
      <c r="J165" s="13"/>
    </row>
    <row r="166" spans="1:10" x14ac:dyDescent="0.3">
      <c r="B166" s="178" t="str">
        <f>'III. Data Inputs-BE'!B115</f>
        <v>Population 9</v>
      </c>
      <c r="C166" s="175">
        <f>'III. Data Inputs-BE'!$K$82</f>
        <v>0</v>
      </c>
      <c r="D166" s="175">
        <f>'III. Data Inputs-BE'!K189</f>
        <v>0</v>
      </c>
      <c r="E166" s="176">
        <f>'III. Data Inputs-BE'!$D$101</f>
        <v>0</v>
      </c>
      <c r="F166" s="174">
        <f>'III. Data Inputs-BE'!$C$169</f>
        <v>0</v>
      </c>
      <c r="G166" s="174">
        <f>'III. Data Inputs-BE'!$C$115</f>
        <v>0</v>
      </c>
      <c r="H166" s="148">
        <f>C166*D166*E166*'III. Data Inputs-BE'!$G$45*F166*G166*0.68*0.001</f>
        <v>0</v>
      </c>
      <c r="I166" s="149">
        <f t="shared" si="10"/>
        <v>0</v>
      </c>
      <c r="J166" s="13"/>
    </row>
    <row r="167" spans="1:10" ht="13.5" thickBot="1" x14ac:dyDescent="0.35">
      <c r="B167" s="193" t="str">
        <f>'III. Data Inputs-BE'!B116</f>
        <v>Population 10</v>
      </c>
      <c r="C167" s="189">
        <f>'III. Data Inputs-BE'!$L$82</f>
        <v>0</v>
      </c>
      <c r="D167" s="189">
        <f>'III. Data Inputs-BE'!L189</f>
        <v>0</v>
      </c>
      <c r="E167" s="190">
        <f>'III. Data Inputs-BE'!$D$102</f>
        <v>0</v>
      </c>
      <c r="F167" s="191">
        <f>'III. Data Inputs-BE'!$C$169</f>
        <v>0</v>
      </c>
      <c r="G167" s="191">
        <f>'III. Data Inputs-BE'!$C$116</f>
        <v>0</v>
      </c>
      <c r="H167" s="159">
        <f>C167*D167*E167*'III. Data Inputs-BE'!$G$45*F167*G167*0.68*0.001</f>
        <v>0</v>
      </c>
      <c r="I167" s="161">
        <f t="shared" si="10"/>
        <v>0</v>
      </c>
      <c r="J167" s="13"/>
    </row>
    <row r="168" spans="1:10" ht="13.5" thickBot="1" x14ac:dyDescent="0.35">
      <c r="B168" s="197" t="s">
        <v>414</v>
      </c>
      <c r="C168" s="198"/>
      <c r="D168" s="198"/>
      <c r="E168" s="198"/>
      <c r="F168" s="198"/>
      <c r="G168" s="199"/>
      <c r="H168" s="196">
        <f>SUM(H158:H167)</f>
        <v>0</v>
      </c>
      <c r="I168" s="154">
        <f>SUM(I158:I167)</f>
        <v>0</v>
      </c>
    </row>
    <row r="169" spans="1:10" x14ac:dyDescent="0.3">
      <c r="H169" s="58"/>
      <c r="I169" s="58"/>
    </row>
    <row r="170" spans="1:10" x14ac:dyDescent="0.3">
      <c r="I170" s="58"/>
      <c r="J170" s="58"/>
    </row>
    <row r="171" spans="1:10" ht="24" customHeight="1" thickBot="1" x14ac:dyDescent="0.3">
      <c r="B171" s="164" t="s">
        <v>415</v>
      </c>
    </row>
    <row r="172" spans="1:10" ht="16" x14ac:dyDescent="0.4">
      <c r="A172" s="3"/>
      <c r="B172" s="200" t="s">
        <v>412</v>
      </c>
      <c r="C172" s="180">
        <f>H28+H42+H56+H70+H84+H98+H112+H126+H140+H154+H168</f>
        <v>0</v>
      </c>
      <c r="D172" s="76" t="s">
        <v>140</v>
      </c>
      <c r="E172" s="3"/>
      <c r="F172" s="3"/>
      <c r="G172" s="3"/>
      <c r="H172" s="3"/>
    </row>
    <row r="173" spans="1:10" ht="16.5" thickBot="1" x14ac:dyDescent="0.45">
      <c r="A173" s="3"/>
      <c r="B173" s="201" t="s">
        <v>413</v>
      </c>
      <c r="C173" s="150">
        <f>I28+I42+I56+I70+I84+I98+I112+I126+I140+I154+I168</f>
        <v>0</v>
      </c>
      <c r="D173" s="72" t="s">
        <v>142</v>
      </c>
      <c r="E173" s="3"/>
      <c r="F173" s="3"/>
      <c r="G173" s="3"/>
      <c r="H173" s="3"/>
    </row>
    <row r="174" spans="1:10" ht="13.5" thickBot="1" x14ac:dyDescent="0.35"/>
    <row r="175" spans="1:10" ht="12.5" x14ac:dyDescent="0.25">
      <c r="B175" s="609" t="s">
        <v>229</v>
      </c>
      <c r="C175" s="610"/>
      <c r="D175" s="610"/>
      <c r="E175" s="610"/>
      <c r="F175" s="610"/>
      <c r="G175" s="610"/>
      <c r="H175" s="611"/>
      <c r="I175" s="13"/>
      <c r="J175" s="13"/>
    </row>
    <row r="176" spans="1:10" ht="12.5" x14ac:dyDescent="0.25">
      <c r="B176" s="612"/>
      <c r="C176" s="578"/>
      <c r="D176" s="578"/>
      <c r="E176" s="578"/>
      <c r="F176" s="578"/>
      <c r="G176" s="578"/>
      <c r="H176" s="613"/>
      <c r="I176" s="13"/>
      <c r="J176" s="13"/>
    </row>
    <row r="177" spans="2:10" ht="12.5" x14ac:dyDescent="0.25">
      <c r="B177" s="612"/>
      <c r="C177" s="578"/>
      <c r="D177" s="578"/>
      <c r="E177" s="578"/>
      <c r="F177" s="578"/>
      <c r="G177" s="578"/>
      <c r="H177" s="613"/>
      <c r="I177" s="13"/>
      <c r="J177" s="13"/>
    </row>
    <row r="178" spans="2:10" ht="12.5" x14ac:dyDescent="0.25">
      <c r="B178" s="612"/>
      <c r="C178" s="578"/>
      <c r="D178" s="578"/>
      <c r="E178" s="578"/>
      <c r="F178" s="578"/>
      <c r="G178" s="578"/>
      <c r="H178" s="613"/>
      <c r="I178" s="13"/>
      <c r="J178" s="13"/>
    </row>
    <row r="179" spans="2:10" ht="12.5" x14ac:dyDescent="0.25">
      <c r="B179" s="612"/>
      <c r="C179" s="578"/>
      <c r="D179" s="578"/>
      <c r="E179" s="578"/>
      <c r="F179" s="578"/>
      <c r="G179" s="578"/>
      <c r="H179" s="613"/>
      <c r="I179" s="13"/>
      <c r="J179" s="13"/>
    </row>
    <row r="180" spans="2:10" ht="12.5" x14ac:dyDescent="0.25">
      <c r="B180" s="612"/>
      <c r="C180" s="578"/>
      <c r="D180" s="578"/>
      <c r="E180" s="578"/>
      <c r="F180" s="578"/>
      <c r="G180" s="578"/>
      <c r="H180" s="613"/>
      <c r="I180" s="13"/>
      <c r="J180" s="13"/>
    </row>
    <row r="181" spans="2:10" thickBot="1" x14ac:dyDescent="0.3">
      <c r="B181" s="614"/>
      <c r="C181" s="615"/>
      <c r="D181" s="615"/>
      <c r="E181" s="615"/>
      <c r="F181" s="615"/>
      <c r="G181" s="615"/>
      <c r="H181" s="616"/>
      <c r="I181" s="13"/>
      <c r="J181" s="13"/>
    </row>
  </sheetData>
  <sheetProtection algorithmName="SHA-512" hashValue="9FXfi2QGBVu92Iu1lMB6dNXPrdzqRjjhVhyYjDBjHDcZlCG8SmFyJZcQCTovKJ1Stry7t0k6fdrcF7cMVyMojQ==" saltValue="YOvnInUFVqYEdOjJuYH6Pw==" spinCount="100000" sheet="1" objects="1" scenarios="1"/>
  <customSheetViews>
    <customSheetView guid="{A6F5A5FB-2E6E-47D3-842C-0D3D06DB341A}" scale="75">
      <selection activeCell="B2" sqref="B2"/>
      <rowBreaks count="2" manualBreakCount="2">
        <brk id="71" min="1" max="9" man="1"/>
        <brk id="113" min="1" max="9" man="1"/>
      </rowBreaks>
      <pageMargins left="0" right="0" top="0" bottom="0" header="0" footer="0"/>
      <printOptions horizontalCentered="1" verticalCentered="1"/>
      <pageSetup scale="48" fitToHeight="3" orientation="landscape" r:id="rId1"/>
      <headerFooter alignWithMargins="0"/>
    </customSheetView>
  </customSheetViews>
  <mergeCells count="2">
    <mergeCell ref="B14:J14"/>
    <mergeCell ref="B175:H181"/>
  </mergeCells>
  <phoneticPr fontId="2" type="noConversion"/>
  <printOptions horizontalCentered="1" verticalCentered="1"/>
  <pageMargins left="0.25" right="0.25" top="0.25" bottom="0.25" header="0.25" footer="0.25"/>
  <pageSetup scale="48" fitToHeight="3" orientation="landscape" r:id="rId2"/>
  <headerFooter alignWithMargins="0"/>
  <rowBreaks count="2" manualBreakCount="2">
    <brk id="71" min="1" max="9" man="1"/>
    <brk id="113" min="1"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B1:I50"/>
  <sheetViews>
    <sheetView showGridLines="0" topLeftCell="A29" zoomScale="80" zoomScaleNormal="80" zoomScaleSheetLayoutView="75" workbookViewId="0">
      <selection activeCell="C50" sqref="C50"/>
    </sheetView>
  </sheetViews>
  <sheetFormatPr defaultColWidth="9.1796875" defaultRowHeight="12.5" x14ac:dyDescent="0.25"/>
  <cols>
    <col min="1" max="1" width="3.81640625" style="13" customWidth="1"/>
    <col min="2" max="2" width="32.26953125" style="13" customWidth="1"/>
    <col min="3" max="3" width="24.54296875" style="41" customWidth="1"/>
    <col min="4" max="4" width="26.81640625" style="41" bestFit="1" customWidth="1"/>
    <col min="5" max="5" width="25.1796875" style="41" bestFit="1" customWidth="1"/>
    <col min="6" max="6" width="28" style="41" bestFit="1" customWidth="1"/>
    <col min="7" max="7" width="23.7265625" style="41" bestFit="1" customWidth="1"/>
    <col min="8" max="8" width="26.453125" style="41" bestFit="1" customWidth="1"/>
    <col min="9" max="16384" width="9.1796875" style="13"/>
  </cols>
  <sheetData>
    <row r="1" spans="2:9" ht="13" x14ac:dyDescent="0.3">
      <c r="B1" s="14" t="s">
        <v>0</v>
      </c>
    </row>
    <row r="2" spans="2:9" ht="13" x14ac:dyDescent="0.3">
      <c r="B2" s="14" t="s">
        <v>116</v>
      </c>
    </row>
    <row r="3" spans="2:9" ht="13" x14ac:dyDescent="0.3">
      <c r="B3" s="14"/>
    </row>
    <row r="4" spans="2:9" ht="18" x14ac:dyDescent="0.4">
      <c r="B4" s="15" t="s">
        <v>416</v>
      </c>
    </row>
    <row r="5" spans="2:9" ht="13" x14ac:dyDescent="0.3">
      <c r="B5" s="3"/>
    </row>
    <row r="6" spans="2:9" ht="13" x14ac:dyDescent="0.3">
      <c r="B6" s="3" t="s">
        <v>118</v>
      </c>
      <c r="C6" s="69"/>
      <c r="E6" s="57"/>
      <c r="F6" s="126"/>
      <c r="G6" s="126"/>
      <c r="H6" s="126"/>
      <c r="I6" s="46"/>
    </row>
    <row r="7" spans="2:9" ht="13" x14ac:dyDescent="0.3">
      <c r="B7" s="94" t="s">
        <v>119</v>
      </c>
      <c r="C7" s="203" t="s">
        <v>174</v>
      </c>
      <c r="D7" s="204"/>
      <c r="E7" s="57"/>
      <c r="F7" s="126"/>
      <c r="G7" s="126"/>
      <c r="H7" s="126"/>
      <c r="I7" s="46"/>
    </row>
    <row r="8" spans="2:9" ht="13" x14ac:dyDescent="0.3">
      <c r="B8" s="165" t="s">
        <v>121</v>
      </c>
      <c r="C8" s="205" t="s">
        <v>122</v>
      </c>
      <c r="D8" s="206"/>
      <c r="E8" s="57"/>
      <c r="F8" s="126"/>
      <c r="G8" s="126"/>
      <c r="H8" s="126"/>
      <c r="I8" s="46"/>
    </row>
    <row r="9" spans="2:9" ht="13" x14ac:dyDescent="0.3">
      <c r="B9" s="251" t="s">
        <v>179</v>
      </c>
      <c r="C9" s="254" t="s">
        <v>180</v>
      </c>
      <c r="D9" s="255"/>
      <c r="E9" s="57"/>
      <c r="F9" s="126"/>
      <c r="G9" s="126"/>
      <c r="H9" s="126"/>
      <c r="I9" s="46"/>
    </row>
    <row r="10" spans="2:9" ht="13" x14ac:dyDescent="0.3">
      <c r="B10" s="4"/>
      <c r="C10" s="69"/>
      <c r="E10" s="57"/>
      <c r="F10" s="126"/>
      <c r="G10" s="126"/>
      <c r="H10" s="126"/>
      <c r="I10" s="46"/>
    </row>
    <row r="11" spans="2:9" ht="13" x14ac:dyDescent="0.3">
      <c r="B11" s="100" t="s">
        <v>282</v>
      </c>
      <c r="E11" s="58"/>
    </row>
    <row r="12" spans="2:9" ht="13" x14ac:dyDescent="0.3">
      <c r="B12" s="100"/>
      <c r="E12" s="58"/>
    </row>
    <row r="13" spans="2:9" x14ac:dyDescent="0.25">
      <c r="B13" s="561" t="s">
        <v>417</v>
      </c>
      <c r="C13" s="561"/>
      <c r="D13" s="561"/>
      <c r="E13" s="561"/>
      <c r="F13" s="561"/>
      <c r="G13" s="561"/>
      <c r="H13" s="561"/>
    </row>
    <row r="14" spans="2:9" ht="13" x14ac:dyDescent="0.3">
      <c r="B14" s="207"/>
      <c r="C14" s="137"/>
      <c r="D14" s="137"/>
      <c r="E14" s="58"/>
    </row>
    <row r="15" spans="2:9" ht="15.5" x14ac:dyDescent="0.35">
      <c r="B15" s="89" t="s">
        <v>418</v>
      </c>
    </row>
    <row r="16" spans="2:9" ht="13" x14ac:dyDescent="0.3">
      <c r="B16" s="109"/>
    </row>
    <row r="17" spans="2:8" s="46" customFormat="1" ht="15" x14ac:dyDescent="0.4">
      <c r="B17" s="128" t="s">
        <v>406</v>
      </c>
      <c r="C17" s="435" t="s">
        <v>419</v>
      </c>
      <c r="D17" s="435" t="s">
        <v>420</v>
      </c>
      <c r="E17" s="435" t="s">
        <v>421</v>
      </c>
      <c r="F17" s="435" t="s">
        <v>422</v>
      </c>
      <c r="G17" s="435" t="s">
        <v>423</v>
      </c>
      <c r="H17" s="435" t="s">
        <v>424</v>
      </c>
    </row>
    <row r="18" spans="2:8" ht="13" x14ac:dyDescent="0.3">
      <c r="B18" s="211" t="str">
        <f>'III. Data Inputs-BE'!B107</f>
        <v>Population 1</v>
      </c>
      <c r="C18" s="208">
        <f>'V. BE CH4,AS'!I34+'V. BE CH4,AS'!I58</f>
        <v>0</v>
      </c>
      <c r="D18" s="208">
        <f t="shared" ref="D18:D27" si="0">C18*gwp_ch4</f>
        <v>0</v>
      </c>
      <c r="E18" s="208">
        <f>'VI. BE CH4,nAS'!H18+'VI. BE CH4,nAS'!H32+'VI. BE CH4,nAS'!H46+'VI. BE CH4,nAS'!H60+'VI. BE CH4,nAS'!H74+'VI. BE CH4,nAS'!H88+'VI. BE CH4,nAS'!H102+'VI. BE CH4,nAS'!H116+'VI. BE CH4,nAS'!H130+'VI. BE CH4,nAS'!H144+'VI. BE CH4,nAS'!H158</f>
        <v>0</v>
      </c>
      <c r="F18" s="208">
        <f t="shared" ref="F18:F27" si="1">E18*gwp_ch4</f>
        <v>0</v>
      </c>
      <c r="G18" s="529">
        <f>C18+E18</f>
        <v>0</v>
      </c>
      <c r="H18" s="529">
        <f>D18+F18</f>
        <v>0</v>
      </c>
    </row>
    <row r="19" spans="2:8" ht="13" x14ac:dyDescent="0.3">
      <c r="B19" s="211" t="str">
        <f>'III. Data Inputs-BE'!B108</f>
        <v>Population 2</v>
      </c>
      <c r="C19" s="208">
        <f>'V. BE CH4,AS'!I82+'V. BE CH4,AS'!I107</f>
        <v>0</v>
      </c>
      <c r="D19" s="208">
        <f t="shared" si="0"/>
        <v>0</v>
      </c>
      <c r="E19" s="208">
        <f>'VI. BE CH4,nAS'!H19+'VI. BE CH4,nAS'!H33+'VI. BE CH4,nAS'!H47+'VI. BE CH4,nAS'!H61+'VI. BE CH4,nAS'!H75+'VI. BE CH4,nAS'!H89+'VI. BE CH4,nAS'!H103+'VI. BE CH4,nAS'!H117+'VI. BE CH4,nAS'!H131+'VI. BE CH4,nAS'!H145+'VI. BE CH4,nAS'!H159</f>
        <v>0</v>
      </c>
      <c r="F19" s="208">
        <f t="shared" si="1"/>
        <v>0</v>
      </c>
      <c r="G19" s="529">
        <f t="shared" ref="G19:G27" si="2">C19+E19</f>
        <v>0</v>
      </c>
      <c r="H19" s="529">
        <f t="shared" ref="H19:H27" si="3">D19+F19</f>
        <v>0</v>
      </c>
    </row>
    <row r="20" spans="2:8" ht="13" x14ac:dyDescent="0.3">
      <c r="B20" s="211" t="str">
        <f>'III. Data Inputs-BE'!B109</f>
        <v>Population 3</v>
      </c>
      <c r="C20" s="208">
        <f>'V. BE CH4,AS'!I131+'V. BE CH4,AS'!I155</f>
        <v>0</v>
      </c>
      <c r="D20" s="208">
        <f t="shared" si="0"/>
        <v>0</v>
      </c>
      <c r="E20" s="208">
        <f>'VI. BE CH4,nAS'!H20+'VI. BE CH4,nAS'!H34+'VI. BE CH4,nAS'!H48+'VI. BE CH4,nAS'!H62+'VI. BE CH4,nAS'!H76+'VI. BE CH4,nAS'!H90+'VI. BE CH4,nAS'!H104+'VI. BE CH4,nAS'!H118+'VI. BE CH4,nAS'!H132+'VI. BE CH4,nAS'!H146+'VI. BE CH4,nAS'!H160</f>
        <v>0</v>
      </c>
      <c r="F20" s="208">
        <f t="shared" si="1"/>
        <v>0</v>
      </c>
      <c r="G20" s="529">
        <f t="shared" si="2"/>
        <v>0</v>
      </c>
      <c r="H20" s="529">
        <f t="shared" si="3"/>
        <v>0</v>
      </c>
    </row>
    <row r="21" spans="2:8" ht="13" x14ac:dyDescent="0.3">
      <c r="B21" s="211" t="str">
        <f>'III. Data Inputs-BE'!B110</f>
        <v>Population 4</v>
      </c>
      <c r="C21" s="208">
        <f>'V. BE CH4,AS'!I179+'V. BE CH4,AS'!I203</f>
        <v>0</v>
      </c>
      <c r="D21" s="208">
        <f t="shared" si="0"/>
        <v>0</v>
      </c>
      <c r="E21" s="208">
        <f>'VI. BE CH4,nAS'!H21+'VI. BE CH4,nAS'!H35+'VI. BE CH4,nAS'!H49+'VI. BE CH4,nAS'!H63+'VI. BE CH4,nAS'!H77+'VI. BE CH4,nAS'!H91+'VI. BE CH4,nAS'!H105+'VI. BE CH4,nAS'!H119+'VI. BE CH4,nAS'!H133+'VI. BE CH4,nAS'!H147+'VI. BE CH4,nAS'!H161</f>
        <v>0</v>
      </c>
      <c r="F21" s="208">
        <f t="shared" si="1"/>
        <v>0</v>
      </c>
      <c r="G21" s="529">
        <f t="shared" si="2"/>
        <v>0</v>
      </c>
      <c r="H21" s="529">
        <f t="shared" si="3"/>
        <v>0</v>
      </c>
    </row>
    <row r="22" spans="2:8" ht="13" x14ac:dyDescent="0.3">
      <c r="B22" s="211" t="str">
        <f>'III. Data Inputs-BE'!B111</f>
        <v>Population 5</v>
      </c>
      <c r="C22" s="208">
        <f>'V. BE CH4,AS'!I226+'V. BE CH4,AS'!I251</f>
        <v>0</v>
      </c>
      <c r="D22" s="208">
        <f t="shared" si="0"/>
        <v>0</v>
      </c>
      <c r="E22" s="208">
        <f>'VI. BE CH4,nAS'!H22+'VI. BE CH4,nAS'!H36+'VI. BE CH4,nAS'!H50+'VI. BE CH4,nAS'!H64+'VI. BE CH4,nAS'!H78+'VI. BE CH4,nAS'!H92+'VI. BE CH4,nAS'!H106+'VI. BE CH4,nAS'!H120+'VI. BE CH4,nAS'!H134+'VI. BE CH4,nAS'!H148+'VI. BE CH4,nAS'!H162</f>
        <v>0</v>
      </c>
      <c r="F22" s="208">
        <f t="shared" si="1"/>
        <v>0</v>
      </c>
      <c r="G22" s="529">
        <f t="shared" si="2"/>
        <v>0</v>
      </c>
      <c r="H22" s="529">
        <f t="shared" si="3"/>
        <v>0</v>
      </c>
    </row>
    <row r="23" spans="2:8" ht="13" x14ac:dyDescent="0.3">
      <c r="B23" s="211" t="str">
        <f>'III. Data Inputs-BE'!B112</f>
        <v>Population 6</v>
      </c>
      <c r="C23" s="208">
        <f>'V. BE CH4,AS'!I275+'V. BE CH4,AS'!I299</f>
        <v>0</v>
      </c>
      <c r="D23" s="208">
        <f t="shared" si="0"/>
        <v>0</v>
      </c>
      <c r="E23" s="208">
        <f>'VI. BE CH4,nAS'!H23+'VI. BE CH4,nAS'!H37+'VI. BE CH4,nAS'!H51+'VI. BE CH4,nAS'!H65+'VI. BE CH4,nAS'!H79+'VI. BE CH4,nAS'!H93+'VI. BE CH4,nAS'!H107+'VI. BE CH4,nAS'!H121+'VI. BE CH4,nAS'!H135+'VI. BE CH4,nAS'!H149+'VI. BE CH4,nAS'!H163</f>
        <v>0</v>
      </c>
      <c r="F23" s="208">
        <f t="shared" si="1"/>
        <v>0</v>
      </c>
      <c r="G23" s="529">
        <f t="shared" si="2"/>
        <v>0</v>
      </c>
      <c r="H23" s="529">
        <f t="shared" si="3"/>
        <v>0</v>
      </c>
    </row>
    <row r="24" spans="2:8" ht="13" x14ac:dyDescent="0.3">
      <c r="B24" s="211" t="str">
        <f>'III. Data Inputs-BE'!B113</f>
        <v>Population 7</v>
      </c>
      <c r="C24" s="208">
        <f>'V. BE CH4,AS'!I325+'V. BE CH4,AS'!I349</f>
        <v>0</v>
      </c>
      <c r="D24" s="208">
        <f t="shared" si="0"/>
        <v>0</v>
      </c>
      <c r="E24" s="208">
        <f>'VI. BE CH4,nAS'!H24+'VI. BE CH4,nAS'!H38+'VI. BE CH4,nAS'!H52+'VI. BE CH4,nAS'!H66+'VI. BE CH4,nAS'!H80+'VI. BE CH4,nAS'!H94+'VI. BE CH4,nAS'!H108+'VI. BE CH4,nAS'!H122+'VI. BE CH4,nAS'!H136+'VI. BE CH4,nAS'!H150+'VI. BE CH4,nAS'!H164</f>
        <v>0</v>
      </c>
      <c r="F24" s="208">
        <f t="shared" si="1"/>
        <v>0</v>
      </c>
      <c r="G24" s="529">
        <f t="shared" si="2"/>
        <v>0</v>
      </c>
      <c r="H24" s="529">
        <f t="shared" si="3"/>
        <v>0</v>
      </c>
    </row>
    <row r="25" spans="2:8" ht="13" x14ac:dyDescent="0.3">
      <c r="B25" s="211" t="str">
        <f>'III. Data Inputs-BE'!B114</f>
        <v>Population 8</v>
      </c>
      <c r="C25" s="208">
        <f>'V. BE CH4,AS'!I372+'V. BE CH4,AS'!I396</f>
        <v>0</v>
      </c>
      <c r="D25" s="208">
        <f t="shared" si="0"/>
        <v>0</v>
      </c>
      <c r="E25" s="208">
        <f>'VI. BE CH4,nAS'!H25+'VI. BE CH4,nAS'!H39+'VI. BE CH4,nAS'!H53+'VI. BE CH4,nAS'!H67+'VI. BE CH4,nAS'!H81+'VI. BE CH4,nAS'!H95+'VI. BE CH4,nAS'!H109+'VI. BE CH4,nAS'!H123+'VI. BE CH4,nAS'!H137+'VI. BE CH4,nAS'!H151+'VI. BE CH4,nAS'!H165</f>
        <v>0</v>
      </c>
      <c r="F25" s="208">
        <f t="shared" si="1"/>
        <v>0</v>
      </c>
      <c r="G25" s="529">
        <f t="shared" si="2"/>
        <v>0</v>
      </c>
      <c r="H25" s="529">
        <f t="shared" si="3"/>
        <v>0</v>
      </c>
    </row>
    <row r="26" spans="2:8" ht="13" x14ac:dyDescent="0.3">
      <c r="B26" s="211" t="str">
        <f>'III. Data Inputs-BE'!B115</f>
        <v>Population 9</v>
      </c>
      <c r="C26" s="208">
        <f>'V. BE CH4,AS'!I420+'V. BE CH4,AS'!I444</f>
        <v>0</v>
      </c>
      <c r="D26" s="208">
        <f t="shared" si="0"/>
        <v>0</v>
      </c>
      <c r="E26" s="208">
        <f>'VI. BE CH4,nAS'!H26+'VI. BE CH4,nAS'!H40+'VI. BE CH4,nAS'!H54+'VI. BE CH4,nAS'!H68+'VI. BE CH4,nAS'!H82+'VI. BE CH4,nAS'!H96+'VI. BE CH4,nAS'!H110+'VI. BE CH4,nAS'!H124+'VI. BE CH4,nAS'!H138+'VI. BE CH4,nAS'!H152+'VI. BE CH4,nAS'!H166</f>
        <v>0</v>
      </c>
      <c r="F26" s="208">
        <f t="shared" si="1"/>
        <v>0</v>
      </c>
      <c r="G26" s="529">
        <f t="shared" si="2"/>
        <v>0</v>
      </c>
      <c r="H26" s="529">
        <f t="shared" si="3"/>
        <v>0</v>
      </c>
    </row>
    <row r="27" spans="2:8" ht="13" x14ac:dyDescent="0.3">
      <c r="B27" s="211" t="str">
        <f>'III. Data Inputs-BE'!B116</f>
        <v>Population 10</v>
      </c>
      <c r="C27" s="208">
        <f>'V. BE CH4,AS'!I468+'V. BE CH4,AS'!I492</f>
        <v>0</v>
      </c>
      <c r="D27" s="208">
        <f t="shared" si="0"/>
        <v>0</v>
      </c>
      <c r="E27" s="208">
        <f>'VI. BE CH4,nAS'!H27+'VI. BE CH4,nAS'!H41+'VI. BE CH4,nAS'!H55+'VI. BE CH4,nAS'!H69+'VI. BE CH4,nAS'!H83+'VI. BE CH4,nAS'!H97+'VI. BE CH4,nAS'!H111+'VI. BE CH4,nAS'!H125+'VI. BE CH4,nAS'!H139+'VI. BE CH4,nAS'!H153+'VI. BE CH4,nAS'!H167</f>
        <v>0</v>
      </c>
      <c r="F27" s="208">
        <f t="shared" si="1"/>
        <v>0</v>
      </c>
      <c r="G27" s="529">
        <f t="shared" si="2"/>
        <v>0</v>
      </c>
      <c r="H27" s="529">
        <f t="shared" si="3"/>
        <v>0</v>
      </c>
    </row>
    <row r="28" spans="2:8" ht="13" x14ac:dyDescent="0.3">
      <c r="B28" s="3"/>
    </row>
    <row r="29" spans="2:8" ht="15.5" x14ac:dyDescent="0.35">
      <c r="B29" s="89" t="s">
        <v>425</v>
      </c>
    </row>
    <row r="30" spans="2:8" ht="13" x14ac:dyDescent="0.3">
      <c r="B30" s="3"/>
    </row>
    <row r="31" spans="2:8" s="46" customFormat="1" ht="15" x14ac:dyDescent="0.4">
      <c r="B31" s="128" t="s">
        <v>426</v>
      </c>
      <c r="C31" s="435" t="s">
        <v>427</v>
      </c>
      <c r="D31" s="435" t="s">
        <v>428</v>
      </c>
      <c r="E31" s="126"/>
      <c r="F31" s="549" t="s">
        <v>229</v>
      </c>
      <c r="G31" s="554"/>
      <c r="H31" s="554"/>
    </row>
    <row r="32" spans="2:8" ht="13" x14ac:dyDescent="0.3">
      <c r="B32" s="211" t="str">
        <f>'III. Data Inputs-BE'!B121</f>
        <v>Liquid/Slurry w/natural crust cover</v>
      </c>
      <c r="C32" s="318">
        <f>'V. BE CH4,AS'!I34+'V. BE CH4,AS'!I82+'V. BE CH4,AS'!I131+'V. BE CH4,AS'!I179+'V. BE CH4,AS'!I226+'V. BE CH4,AS'!I275+'V. BE CH4,AS'!I325+'V. BE CH4,AS'!I372+'V. BE CH4,AS'!I420+'V. BE CH4,AS'!I468</f>
        <v>0</v>
      </c>
      <c r="D32" s="318">
        <f t="shared" ref="D32:D44" si="4">C32*gwp_ch4</f>
        <v>0</v>
      </c>
      <c r="F32" s="554"/>
      <c r="G32" s="554"/>
      <c r="H32" s="554"/>
    </row>
    <row r="33" spans="2:8" ht="13" x14ac:dyDescent="0.3">
      <c r="B33" s="211">
        <f>'III. Data Inputs-BE'!B122</f>
        <v>0</v>
      </c>
      <c r="C33" s="318">
        <f>'V. BE CH4,AS'!I492+'V. BE CH4,AS'!I444+'V. BE CH4,AS'!I396+'V. BE CH4,AS'!I349+'V. BE CH4,AS'!I299+'V. BE CH4,AS'!I251+'V. BE CH4,AS'!I203+'V. BE CH4,AS'!I155+'V. BE CH4,AS'!I107+'V. BE CH4,AS'!I58</f>
        <v>0</v>
      </c>
      <c r="D33" s="318">
        <f t="shared" si="4"/>
        <v>0</v>
      </c>
      <c r="F33" s="554"/>
      <c r="G33" s="554"/>
      <c r="H33" s="554"/>
    </row>
    <row r="34" spans="2:8" ht="13" x14ac:dyDescent="0.3">
      <c r="B34" s="211">
        <f>'III. Data Inputs-BE'!C121</f>
        <v>0</v>
      </c>
      <c r="C34" s="318">
        <f>'VI. BE CH4,nAS'!H28</f>
        <v>0</v>
      </c>
      <c r="D34" s="318">
        <f t="shared" si="4"/>
        <v>0</v>
      </c>
      <c r="F34" s="554"/>
      <c r="G34" s="554"/>
      <c r="H34" s="554"/>
    </row>
    <row r="35" spans="2:8" ht="13" x14ac:dyDescent="0.3">
      <c r="B35" s="211">
        <f>'III. Data Inputs-BE'!C122</f>
        <v>0</v>
      </c>
      <c r="C35" s="318">
        <f>'VI. BE CH4,nAS'!H42</f>
        <v>0</v>
      </c>
      <c r="D35" s="318">
        <f t="shared" si="4"/>
        <v>0</v>
      </c>
      <c r="F35" s="554"/>
      <c r="G35" s="554"/>
      <c r="H35" s="554"/>
    </row>
    <row r="36" spans="2:8" ht="13" x14ac:dyDescent="0.3">
      <c r="B36" s="211">
        <f>'III. Data Inputs-BE'!C123</f>
        <v>0</v>
      </c>
      <c r="C36" s="318">
        <f>'VI. BE CH4,nAS'!H56</f>
        <v>0</v>
      </c>
      <c r="D36" s="318">
        <f t="shared" si="4"/>
        <v>0</v>
      </c>
      <c r="F36" s="554"/>
      <c r="G36" s="554"/>
      <c r="H36" s="554"/>
    </row>
    <row r="37" spans="2:8" ht="13" x14ac:dyDescent="0.3">
      <c r="B37" s="211">
        <f>'III. Data Inputs-BE'!C124</f>
        <v>0</v>
      </c>
      <c r="C37" s="318">
        <f>'VI. BE CH4,nAS'!H70</f>
        <v>0</v>
      </c>
      <c r="D37" s="318">
        <f t="shared" si="4"/>
        <v>0</v>
      </c>
      <c r="F37" s="554"/>
      <c r="G37" s="554"/>
      <c r="H37" s="554"/>
    </row>
    <row r="38" spans="2:8" ht="13" x14ac:dyDescent="0.3">
      <c r="B38" s="211">
        <f>'III. Data Inputs-BE'!C125</f>
        <v>0</v>
      </c>
      <c r="C38" s="318">
        <f>'VI. BE CH4,nAS'!H84</f>
        <v>0</v>
      </c>
      <c r="D38" s="318">
        <f t="shared" si="4"/>
        <v>0</v>
      </c>
      <c r="F38" s="554"/>
      <c r="G38" s="554"/>
      <c r="H38" s="554"/>
    </row>
    <row r="39" spans="2:8" ht="13" x14ac:dyDescent="0.3">
      <c r="B39" s="211">
        <f>'III. Data Inputs-BE'!C126</f>
        <v>0</v>
      </c>
      <c r="C39" s="318">
        <f>'VI. BE CH4,nAS'!H98</f>
        <v>0</v>
      </c>
      <c r="D39" s="318">
        <f t="shared" si="4"/>
        <v>0</v>
      </c>
      <c r="F39" s="554"/>
      <c r="G39" s="554"/>
      <c r="H39" s="554"/>
    </row>
    <row r="40" spans="2:8" ht="13" x14ac:dyDescent="0.3">
      <c r="B40" s="211">
        <f>'III. Data Inputs-BE'!C127</f>
        <v>0</v>
      </c>
      <c r="C40" s="318">
        <f>'VI. BE CH4,nAS'!H112</f>
        <v>0</v>
      </c>
      <c r="D40" s="318">
        <f t="shared" si="4"/>
        <v>0</v>
      </c>
      <c r="F40" s="554"/>
      <c r="G40" s="554"/>
      <c r="H40" s="554"/>
    </row>
    <row r="41" spans="2:8" ht="13" x14ac:dyDescent="0.3">
      <c r="B41" s="211">
        <f>'III. Data Inputs-BE'!C128</f>
        <v>0</v>
      </c>
      <c r="C41" s="318">
        <f>'VI. BE CH4,nAS'!H126</f>
        <v>0</v>
      </c>
      <c r="D41" s="318">
        <f t="shared" si="4"/>
        <v>0</v>
      </c>
      <c r="F41" s="554"/>
      <c r="G41" s="554"/>
      <c r="H41" s="554"/>
    </row>
    <row r="42" spans="2:8" ht="13" x14ac:dyDescent="0.3">
      <c r="B42" s="211">
        <f>'III. Data Inputs-BE'!C129</f>
        <v>0</v>
      </c>
      <c r="C42" s="318">
        <f>'VI. BE CH4,nAS'!H140</f>
        <v>0</v>
      </c>
      <c r="D42" s="318">
        <f t="shared" si="4"/>
        <v>0</v>
      </c>
      <c r="F42" s="554"/>
      <c r="G42" s="554"/>
      <c r="H42" s="554"/>
    </row>
    <row r="43" spans="2:8" ht="13" x14ac:dyDescent="0.3">
      <c r="B43" s="211">
        <f>'III. Data Inputs-BE'!C130</f>
        <v>0</v>
      </c>
      <c r="C43" s="318">
        <f>'VI. BE CH4,nAS'!H154</f>
        <v>0</v>
      </c>
      <c r="D43" s="318">
        <f t="shared" si="4"/>
        <v>0</v>
      </c>
      <c r="F43" s="554"/>
      <c r="G43" s="554"/>
      <c r="H43" s="554"/>
    </row>
    <row r="44" spans="2:8" ht="13" x14ac:dyDescent="0.3">
      <c r="B44" s="211">
        <f>'III. Data Inputs-BE'!C131</f>
        <v>0</v>
      </c>
      <c r="C44" s="318">
        <f>'VI. BE CH4,nAS'!H168</f>
        <v>0</v>
      </c>
      <c r="D44" s="318">
        <f t="shared" si="4"/>
        <v>0</v>
      </c>
      <c r="F44" s="554"/>
      <c r="G44" s="554"/>
      <c r="H44" s="554"/>
    </row>
    <row r="45" spans="2:8" ht="13" x14ac:dyDescent="0.3">
      <c r="B45" s="3"/>
      <c r="C45" s="69"/>
      <c r="F45" s="554"/>
      <c r="G45" s="554"/>
      <c r="H45" s="554"/>
    </row>
    <row r="46" spans="2:8" ht="15.5" x14ac:dyDescent="0.35">
      <c r="B46" s="89" t="s">
        <v>429</v>
      </c>
      <c r="F46" s="554"/>
      <c r="G46" s="554"/>
      <c r="H46" s="554"/>
    </row>
    <row r="47" spans="2:8" ht="13" x14ac:dyDescent="0.3">
      <c r="B47" s="617"/>
      <c r="C47" s="561"/>
      <c r="D47" s="561"/>
      <c r="E47" s="137"/>
      <c r="F47" s="554"/>
      <c r="G47" s="554"/>
      <c r="H47" s="554"/>
    </row>
    <row r="48" spans="2:8" s="3" customFormat="1" ht="16" x14ac:dyDescent="0.4">
      <c r="B48" s="75" t="s">
        <v>430</v>
      </c>
      <c r="C48" s="530">
        <f>SUM(C32:C44)</f>
        <v>0</v>
      </c>
      <c r="D48" s="76" t="s">
        <v>140</v>
      </c>
      <c r="E48" s="76"/>
      <c r="F48" s="554"/>
      <c r="G48" s="554"/>
      <c r="H48" s="554"/>
    </row>
    <row r="49" spans="2:8" s="3" customFormat="1" ht="16" x14ac:dyDescent="0.4">
      <c r="B49" s="75" t="s">
        <v>428</v>
      </c>
      <c r="C49" s="462">
        <f>SUM(D32:D44)</f>
        <v>0</v>
      </c>
      <c r="D49" s="72" t="s">
        <v>142</v>
      </c>
      <c r="E49" s="58"/>
      <c r="F49" s="554"/>
      <c r="G49" s="554"/>
      <c r="H49" s="554"/>
    </row>
    <row r="50" spans="2:8" x14ac:dyDescent="0.25">
      <c r="F50" s="554"/>
      <c r="G50" s="554"/>
      <c r="H50" s="554"/>
    </row>
  </sheetData>
  <sheetProtection algorithmName="SHA-512" hashValue="VYpGJLW0udNZQnqL2dTHamzuU6OUA2QFila5WcFR7NZQ2TkTsE3zQZ3N/zn9+eTCZu3ROfvOZwbmRGHy/Jr8xQ==" saltValue="uVNuJV5RckuJ4SYYUe3QrQ==" spinCount="100000" sheet="1" objects="1" scenarios="1"/>
  <customSheetViews>
    <customSheetView guid="{A6F5A5FB-2E6E-47D3-842C-0D3D06DB341A}" scale="75" fitToPage="1">
      <selection activeCell="B2" sqref="B2"/>
      <pageMargins left="0" right="0" top="0" bottom="0" header="0" footer="0"/>
      <printOptions horizontalCentered="1" verticalCentered="1"/>
      <pageSetup scale="59" orientation="landscape" horizontalDpi="4294967293" r:id="rId1"/>
      <headerFooter alignWithMargins="0"/>
    </customSheetView>
  </customSheetViews>
  <mergeCells count="3">
    <mergeCell ref="B47:D47"/>
    <mergeCell ref="B13:H13"/>
    <mergeCell ref="F31:H50"/>
  </mergeCells>
  <phoneticPr fontId="2" type="noConversion"/>
  <printOptions horizontalCentered="1" verticalCentered="1"/>
  <pageMargins left="0.25" right="0.25" top="0.25" bottom="0.25" header="0.25" footer="0.25"/>
  <pageSetup scale="59" orientation="landscape" horizontalDpi="4294967293" r:id="rId2"/>
  <headerFooter alignWithMargins="0"/>
  <ignoredErrors>
    <ignoredError sqref="E18 E19:E27"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B1:P37"/>
  <sheetViews>
    <sheetView showGridLines="0" zoomScale="80" zoomScaleNormal="80" workbookViewId="0">
      <selection activeCell="M16" sqref="M16"/>
    </sheetView>
  </sheetViews>
  <sheetFormatPr defaultColWidth="9.1796875" defaultRowHeight="12.5" x14ac:dyDescent="0.25"/>
  <cols>
    <col min="1" max="1" width="3.54296875" style="13" customWidth="1"/>
    <col min="2" max="2" width="16.26953125" style="13" customWidth="1"/>
    <col min="3" max="3" width="8.26953125" style="13" bestFit="1" customWidth="1"/>
    <col min="4" max="4" width="9.54296875" style="13" bestFit="1" customWidth="1"/>
    <col min="5" max="5" width="15.7265625" style="41" bestFit="1" customWidth="1"/>
    <col min="6" max="6" width="12.54296875" style="13" bestFit="1" customWidth="1"/>
    <col min="7" max="7" width="29.1796875" style="13" bestFit="1" customWidth="1"/>
    <col min="8" max="9" width="10.1796875" style="41" bestFit="1" customWidth="1"/>
    <col min="10" max="10" width="16.26953125" style="13" bestFit="1" customWidth="1"/>
    <col min="11" max="11" width="17.1796875" style="13" bestFit="1" customWidth="1"/>
    <col min="12" max="12" width="16.26953125" style="13" bestFit="1" customWidth="1"/>
    <col min="13" max="13" width="17.1796875" style="13" bestFit="1" customWidth="1"/>
    <col min="14" max="16384" width="9.1796875" style="13"/>
  </cols>
  <sheetData>
    <row r="1" spans="2:16" ht="13" x14ac:dyDescent="0.3">
      <c r="B1" s="14" t="s">
        <v>0</v>
      </c>
    </row>
    <row r="2" spans="2:16" ht="13" x14ac:dyDescent="0.3">
      <c r="B2" s="14" t="s">
        <v>116</v>
      </c>
    </row>
    <row r="3" spans="2:16" ht="13" x14ac:dyDescent="0.3">
      <c r="B3" s="14"/>
    </row>
    <row r="4" spans="2:16" ht="18" x14ac:dyDescent="0.4">
      <c r="B4" s="15" t="s">
        <v>431</v>
      </c>
      <c r="C4" s="3"/>
      <c r="D4" s="3"/>
    </row>
    <row r="5" spans="2:16" ht="13" x14ac:dyDescent="0.3">
      <c r="B5" s="3"/>
      <c r="C5" s="3"/>
      <c r="D5" s="3"/>
    </row>
    <row r="6" spans="2:16" ht="13" x14ac:dyDescent="0.3">
      <c r="B6" s="3" t="s">
        <v>118</v>
      </c>
      <c r="C6" s="100"/>
      <c r="D6" s="100"/>
      <c r="E6" s="69"/>
      <c r="F6" s="27"/>
      <c r="G6" s="46"/>
      <c r="H6" s="113"/>
      <c r="I6" s="48"/>
      <c r="J6" s="48"/>
      <c r="K6" s="48"/>
      <c r="L6" s="48"/>
    </row>
    <row r="7" spans="2:16" ht="13" x14ac:dyDescent="0.3">
      <c r="B7" s="211" t="s">
        <v>119</v>
      </c>
      <c r="C7" s="618" t="s">
        <v>174</v>
      </c>
      <c r="D7" s="619"/>
      <c r="E7" s="619"/>
      <c r="F7" s="620"/>
      <c r="G7" s="212"/>
      <c r="H7" s="48"/>
      <c r="I7" s="48"/>
      <c r="J7" s="48"/>
      <c r="K7" s="48"/>
      <c r="L7" s="48"/>
    </row>
    <row r="8" spans="2:16" ht="13" x14ac:dyDescent="0.3">
      <c r="B8" s="213" t="s">
        <v>121</v>
      </c>
      <c r="C8" s="621" t="s">
        <v>122</v>
      </c>
      <c r="D8" s="619"/>
      <c r="E8" s="619"/>
      <c r="F8" s="620"/>
      <c r="G8" s="212"/>
      <c r="H8" s="48"/>
      <c r="I8" s="48"/>
      <c r="J8" s="48"/>
      <c r="K8" s="48"/>
      <c r="L8" s="48"/>
    </row>
    <row r="9" spans="2:16" ht="13" x14ac:dyDescent="0.3">
      <c r="B9" s="251" t="s">
        <v>179</v>
      </c>
      <c r="C9" s="254" t="s">
        <v>180</v>
      </c>
      <c r="D9" s="256"/>
      <c r="E9" s="256"/>
      <c r="F9" s="257"/>
      <c r="H9" s="48"/>
      <c r="J9" s="48"/>
      <c r="K9" s="48"/>
      <c r="L9" s="48"/>
    </row>
    <row r="10" spans="2:16" x14ac:dyDescent="0.25">
      <c r="B10" s="26"/>
      <c r="C10" s="26"/>
      <c r="D10" s="26"/>
      <c r="E10" s="69"/>
      <c r="F10" s="27"/>
      <c r="G10" s="46"/>
      <c r="H10" s="48"/>
      <c r="I10" s="48"/>
      <c r="J10" s="48"/>
      <c r="K10" s="48"/>
      <c r="L10" s="48"/>
    </row>
    <row r="11" spans="2:16" ht="13" x14ac:dyDescent="0.3">
      <c r="B11" s="100" t="s">
        <v>282</v>
      </c>
      <c r="C11" s="101"/>
      <c r="D11" s="101"/>
    </row>
    <row r="12" spans="2:16" ht="13" x14ac:dyDescent="0.3">
      <c r="B12" s="101"/>
      <c r="C12" s="101"/>
      <c r="D12" s="101"/>
    </row>
    <row r="13" spans="2:16" ht="15.5" x14ac:dyDescent="0.35">
      <c r="B13" s="209" t="s">
        <v>432</v>
      </c>
      <c r="C13" s="16"/>
      <c r="D13" s="16"/>
    </row>
    <row r="14" spans="2:16" ht="35.25" customHeight="1" x14ac:dyDescent="0.25">
      <c r="B14" s="411" t="s">
        <v>433</v>
      </c>
      <c r="C14" s="411"/>
      <c r="D14" s="411"/>
      <c r="E14" s="411"/>
      <c r="F14" s="411"/>
      <c r="G14" s="411"/>
      <c r="H14" s="411"/>
      <c r="I14" s="411"/>
      <c r="J14" s="36"/>
      <c r="K14" s="36"/>
      <c r="L14" s="36"/>
      <c r="P14" s="27"/>
    </row>
    <row r="15" spans="2:16" s="39" customFormat="1" ht="30" x14ac:dyDescent="0.25">
      <c r="B15" s="368" t="s">
        <v>195</v>
      </c>
      <c r="C15" s="368" t="s">
        <v>434</v>
      </c>
      <c r="D15" s="368" t="s">
        <v>435</v>
      </c>
      <c r="E15" s="368" t="s">
        <v>436</v>
      </c>
      <c r="F15" s="368" t="s">
        <v>437</v>
      </c>
      <c r="G15" s="412" t="s">
        <v>438</v>
      </c>
      <c r="H15" s="368" t="s">
        <v>439</v>
      </c>
      <c r="I15" s="368" t="s">
        <v>440</v>
      </c>
      <c r="J15" s="412" t="s">
        <v>441</v>
      </c>
      <c r="K15" s="412" t="s">
        <v>442</v>
      </c>
      <c r="L15" s="368" t="s">
        <v>443</v>
      </c>
      <c r="M15" s="368" t="s">
        <v>444</v>
      </c>
    </row>
    <row r="16" spans="2:16" x14ac:dyDescent="0.25">
      <c r="B16" s="287" t="str">
        <f>'III. Data Inputs-BE'!B33</f>
        <v>January</v>
      </c>
      <c r="C16" s="215">
        <f>IF('IV. Data Inputs-PE'!$D$42="Yes",520,'IV. Data Inputs-PE'!C46)</f>
        <v>520</v>
      </c>
      <c r="D16" s="215">
        <f>IF('IV. Data Inputs-PE'!$D$42="Yes",1,'IV. Data Inputs-PE'!D46)</f>
        <v>1</v>
      </c>
      <c r="E16" s="215">
        <f>'IV. Data Inputs-PE'!E46</f>
        <v>0</v>
      </c>
      <c r="F16" s="215">
        <f>'IV. Data Inputs-PE'!F46</f>
        <v>0</v>
      </c>
      <c r="G16" s="141">
        <f>IFERROR(IF('III. Data Inputs-BE'!D33=0, 0, IF('IV. Data Inputs-PE'!$D$35="Yes",'IV. Data Inputs-PE'!C64,(E16*F16)*0.0423*0.000454*(520/C16)*(D16/1))),0)</f>
        <v>0</v>
      </c>
      <c r="H16" s="215">
        <f>'IV. Data Inputs-PE'!C17</f>
        <v>0</v>
      </c>
      <c r="I16" s="215">
        <f>'IV. Data Inputs-PE'!E17</f>
        <v>0</v>
      </c>
      <c r="J16" s="141">
        <f>IFERROR((G16*(1/H16-I16)),0)</f>
        <v>0</v>
      </c>
      <c r="K16" s="141">
        <f t="shared" ref="K16:K27" si="0">J16*gwp_ch4</f>
        <v>0</v>
      </c>
      <c r="L16" s="216">
        <f>G16*I16</f>
        <v>0</v>
      </c>
      <c r="M16" s="216">
        <f t="shared" ref="M16:M27" si="1">L16*gwp_ch4</f>
        <v>0</v>
      </c>
    </row>
    <row r="17" spans="2:13" x14ac:dyDescent="0.25">
      <c r="B17" s="287" t="str">
        <f>'III. Data Inputs-BE'!B34</f>
        <v>February</v>
      </c>
      <c r="C17" s="215">
        <f>IF('IV. Data Inputs-PE'!$D$42="Yes",520,'IV. Data Inputs-PE'!C47)</f>
        <v>520</v>
      </c>
      <c r="D17" s="215">
        <f>IF('IV. Data Inputs-PE'!$D$42="Yes",1,'IV. Data Inputs-PE'!D47)</f>
        <v>1</v>
      </c>
      <c r="E17" s="215">
        <f>'IV. Data Inputs-PE'!E47</f>
        <v>0</v>
      </c>
      <c r="F17" s="215">
        <f>'IV. Data Inputs-PE'!F47</f>
        <v>0</v>
      </c>
      <c r="G17" s="141">
        <f>IFERROR(IF('III. Data Inputs-BE'!D34=0, 0, IF('IV. Data Inputs-PE'!$D$35="Yes",'IV. Data Inputs-PE'!C65,(E17*F17)*0.0423*0.000454*(520/C17)*(D17/1))),0)</f>
        <v>0</v>
      </c>
      <c r="H17" s="215">
        <f>'IV. Data Inputs-PE'!C18</f>
        <v>0</v>
      </c>
      <c r="I17" s="215">
        <f>'IV. Data Inputs-PE'!E18</f>
        <v>0</v>
      </c>
      <c r="J17" s="141">
        <f t="shared" ref="J17:J27" si="2">IFERROR((G17*(1/H17-I17)),0)</f>
        <v>0</v>
      </c>
      <c r="K17" s="141">
        <f t="shared" si="0"/>
        <v>0</v>
      </c>
      <c r="L17" s="216">
        <f t="shared" ref="L17:L27" si="3">G17*I17</f>
        <v>0</v>
      </c>
      <c r="M17" s="216">
        <f t="shared" si="1"/>
        <v>0</v>
      </c>
    </row>
    <row r="18" spans="2:13" x14ac:dyDescent="0.25">
      <c r="B18" s="287" t="str">
        <f>'III. Data Inputs-BE'!B35</f>
        <v>March</v>
      </c>
      <c r="C18" s="215">
        <f>IF('IV. Data Inputs-PE'!$D$42="Yes",520,'IV. Data Inputs-PE'!C48)</f>
        <v>520</v>
      </c>
      <c r="D18" s="215">
        <f>IF('IV. Data Inputs-PE'!$D$42="Yes",1,'IV. Data Inputs-PE'!D48)</f>
        <v>1</v>
      </c>
      <c r="E18" s="215">
        <f>'IV. Data Inputs-PE'!E48</f>
        <v>0</v>
      </c>
      <c r="F18" s="215">
        <f>'IV. Data Inputs-PE'!F48</f>
        <v>0</v>
      </c>
      <c r="G18" s="141">
        <f>IFERROR(IF('III. Data Inputs-BE'!D35=0, 0, IF('IV. Data Inputs-PE'!$D$35="Yes",'IV. Data Inputs-PE'!C66,(E18*F18)*0.0423*0.000454*(520/C18)*(D18/1))),0)</f>
        <v>0</v>
      </c>
      <c r="H18" s="215">
        <f>'IV. Data Inputs-PE'!C19</f>
        <v>0</v>
      </c>
      <c r="I18" s="215">
        <f>'IV. Data Inputs-PE'!E19</f>
        <v>0</v>
      </c>
      <c r="J18" s="141">
        <f t="shared" si="2"/>
        <v>0</v>
      </c>
      <c r="K18" s="141">
        <f t="shared" si="0"/>
        <v>0</v>
      </c>
      <c r="L18" s="216">
        <f t="shared" si="3"/>
        <v>0</v>
      </c>
      <c r="M18" s="216">
        <f t="shared" si="1"/>
        <v>0</v>
      </c>
    </row>
    <row r="19" spans="2:13" x14ac:dyDescent="0.25">
      <c r="B19" s="287" t="str">
        <f>'III. Data Inputs-BE'!B36</f>
        <v>April</v>
      </c>
      <c r="C19" s="215">
        <f>IF('IV. Data Inputs-PE'!$D$42="Yes",520,'IV. Data Inputs-PE'!C49)</f>
        <v>520</v>
      </c>
      <c r="D19" s="215">
        <f>IF('IV. Data Inputs-PE'!$D$42="Yes",1,'IV. Data Inputs-PE'!D49)</f>
        <v>1</v>
      </c>
      <c r="E19" s="215">
        <f>'IV. Data Inputs-PE'!E49</f>
        <v>0</v>
      </c>
      <c r="F19" s="215">
        <f>'IV. Data Inputs-PE'!F49</f>
        <v>0</v>
      </c>
      <c r="G19" s="141">
        <f>IFERROR(IF('III. Data Inputs-BE'!D36=0, 0, IF('IV. Data Inputs-PE'!$D$35="Yes",'IV. Data Inputs-PE'!C67,(E19*F19)*0.0423*0.000454*(520/C19)*(D19/1))),0)</f>
        <v>0</v>
      </c>
      <c r="H19" s="215">
        <f>'IV. Data Inputs-PE'!C20</f>
        <v>0</v>
      </c>
      <c r="I19" s="215">
        <f>'IV. Data Inputs-PE'!E20</f>
        <v>0</v>
      </c>
      <c r="J19" s="141">
        <f t="shared" si="2"/>
        <v>0</v>
      </c>
      <c r="K19" s="141">
        <f t="shared" si="0"/>
        <v>0</v>
      </c>
      <c r="L19" s="216">
        <f t="shared" si="3"/>
        <v>0</v>
      </c>
      <c r="M19" s="216">
        <f t="shared" si="1"/>
        <v>0</v>
      </c>
    </row>
    <row r="20" spans="2:13" x14ac:dyDescent="0.25">
      <c r="B20" s="287" t="str">
        <f>'III. Data Inputs-BE'!B37</f>
        <v>May</v>
      </c>
      <c r="C20" s="215">
        <f>IF('IV. Data Inputs-PE'!$D$42="Yes",520,'IV. Data Inputs-PE'!C50)</f>
        <v>520</v>
      </c>
      <c r="D20" s="215">
        <f>IF('IV. Data Inputs-PE'!$D$42="Yes",1,'IV. Data Inputs-PE'!D50)</f>
        <v>1</v>
      </c>
      <c r="E20" s="215">
        <f>'IV. Data Inputs-PE'!E50</f>
        <v>0</v>
      </c>
      <c r="F20" s="215">
        <f>'IV. Data Inputs-PE'!F50</f>
        <v>0</v>
      </c>
      <c r="G20" s="141">
        <f>IFERROR(IF('III. Data Inputs-BE'!D37=0, 0, IF('IV. Data Inputs-PE'!$D$35="Yes",'IV. Data Inputs-PE'!C68,(E20*F20)*0.0423*0.000454*(520/C20)*(D20/1))),0)</f>
        <v>0</v>
      </c>
      <c r="H20" s="215">
        <f>'IV. Data Inputs-PE'!C21</f>
        <v>0</v>
      </c>
      <c r="I20" s="215">
        <f>'IV. Data Inputs-PE'!E21</f>
        <v>0</v>
      </c>
      <c r="J20" s="141">
        <f t="shared" si="2"/>
        <v>0</v>
      </c>
      <c r="K20" s="141">
        <f t="shared" si="0"/>
        <v>0</v>
      </c>
      <c r="L20" s="216">
        <f t="shared" si="3"/>
        <v>0</v>
      </c>
      <c r="M20" s="216">
        <f t="shared" si="1"/>
        <v>0</v>
      </c>
    </row>
    <row r="21" spans="2:13" x14ac:dyDescent="0.25">
      <c r="B21" s="287" t="str">
        <f>'III. Data Inputs-BE'!B38</f>
        <v>June</v>
      </c>
      <c r="C21" s="215">
        <f>IF('IV. Data Inputs-PE'!$D$42="Yes",520,'IV. Data Inputs-PE'!C51)</f>
        <v>520</v>
      </c>
      <c r="D21" s="215">
        <f>IF('IV. Data Inputs-PE'!$D$42="Yes",1,'IV. Data Inputs-PE'!D51)</f>
        <v>1</v>
      </c>
      <c r="E21" s="215">
        <f>'IV. Data Inputs-PE'!E51</f>
        <v>0</v>
      </c>
      <c r="F21" s="215">
        <f>'IV. Data Inputs-PE'!F51</f>
        <v>0</v>
      </c>
      <c r="G21" s="141">
        <f>IFERROR(IF('III. Data Inputs-BE'!D38=0, 0, IF('IV. Data Inputs-PE'!$D$35="Yes",'IV. Data Inputs-PE'!C69,(E21*F21)*0.0423*0.000454*(520/C21)*(D21/1))),0)</f>
        <v>0</v>
      </c>
      <c r="H21" s="215">
        <f>'IV. Data Inputs-PE'!C22</f>
        <v>0</v>
      </c>
      <c r="I21" s="215">
        <f>'IV. Data Inputs-PE'!E22</f>
        <v>0</v>
      </c>
      <c r="J21" s="141">
        <f t="shared" si="2"/>
        <v>0</v>
      </c>
      <c r="K21" s="141">
        <f t="shared" si="0"/>
        <v>0</v>
      </c>
      <c r="L21" s="216">
        <f t="shared" si="3"/>
        <v>0</v>
      </c>
      <c r="M21" s="216">
        <f t="shared" si="1"/>
        <v>0</v>
      </c>
    </row>
    <row r="22" spans="2:13" x14ac:dyDescent="0.25">
      <c r="B22" s="287" t="str">
        <f>'III. Data Inputs-BE'!B39</f>
        <v>July</v>
      </c>
      <c r="C22" s="215">
        <f>IF('IV. Data Inputs-PE'!$D$42="Yes",520,'IV. Data Inputs-PE'!C52)</f>
        <v>520</v>
      </c>
      <c r="D22" s="215">
        <f>IF('IV. Data Inputs-PE'!$D$42="Yes",1,'IV. Data Inputs-PE'!D52)</f>
        <v>1</v>
      </c>
      <c r="E22" s="215">
        <f>'IV. Data Inputs-PE'!E52</f>
        <v>0</v>
      </c>
      <c r="F22" s="215">
        <f>'IV. Data Inputs-PE'!F52</f>
        <v>0</v>
      </c>
      <c r="G22" s="141">
        <f>IFERROR(IF('III. Data Inputs-BE'!D39=0, 0, IF('IV. Data Inputs-PE'!$D$35="Yes",'IV. Data Inputs-PE'!C70,(E22*F22)*0.0423*0.000454*(520/C22)*(D22/1))),0)</f>
        <v>0</v>
      </c>
      <c r="H22" s="215">
        <f>'IV. Data Inputs-PE'!C23</f>
        <v>0</v>
      </c>
      <c r="I22" s="215">
        <f>'IV. Data Inputs-PE'!E23</f>
        <v>0</v>
      </c>
      <c r="J22" s="141">
        <f t="shared" si="2"/>
        <v>0</v>
      </c>
      <c r="K22" s="141">
        <f t="shared" si="0"/>
        <v>0</v>
      </c>
      <c r="L22" s="216">
        <f t="shared" si="3"/>
        <v>0</v>
      </c>
      <c r="M22" s="216">
        <f t="shared" si="1"/>
        <v>0</v>
      </c>
    </row>
    <row r="23" spans="2:13" x14ac:dyDescent="0.25">
      <c r="B23" s="287" t="str">
        <f>'III. Data Inputs-BE'!B40</f>
        <v>August</v>
      </c>
      <c r="C23" s="215">
        <f>IF('IV. Data Inputs-PE'!$D$42="Yes",520,'IV. Data Inputs-PE'!C53)</f>
        <v>520</v>
      </c>
      <c r="D23" s="215">
        <f>IF('IV. Data Inputs-PE'!$D$42="Yes",1,'IV. Data Inputs-PE'!D53)</f>
        <v>1</v>
      </c>
      <c r="E23" s="215">
        <f>'IV. Data Inputs-PE'!E53</f>
        <v>0</v>
      </c>
      <c r="F23" s="215">
        <f>'IV. Data Inputs-PE'!F53</f>
        <v>0</v>
      </c>
      <c r="G23" s="141">
        <f>IFERROR(IF('III. Data Inputs-BE'!D40=0, 0, IF('IV. Data Inputs-PE'!$D$35="Yes",'IV. Data Inputs-PE'!C71,(E23*F23)*0.0423*0.000454*(520/C23)*(D23/1))),0)</f>
        <v>0</v>
      </c>
      <c r="H23" s="215">
        <f>'IV. Data Inputs-PE'!C24</f>
        <v>0</v>
      </c>
      <c r="I23" s="215">
        <f>'IV. Data Inputs-PE'!E24</f>
        <v>0</v>
      </c>
      <c r="J23" s="141">
        <f t="shared" si="2"/>
        <v>0</v>
      </c>
      <c r="K23" s="141">
        <f t="shared" si="0"/>
        <v>0</v>
      </c>
      <c r="L23" s="216">
        <f t="shared" si="3"/>
        <v>0</v>
      </c>
      <c r="M23" s="216">
        <f t="shared" si="1"/>
        <v>0</v>
      </c>
    </row>
    <row r="24" spans="2:13" x14ac:dyDescent="0.25">
      <c r="B24" s="287" t="str">
        <f>'III. Data Inputs-BE'!B41</f>
        <v>September</v>
      </c>
      <c r="C24" s="215">
        <f>IF('IV. Data Inputs-PE'!$D$42="Yes",520,'IV. Data Inputs-PE'!C54)</f>
        <v>520</v>
      </c>
      <c r="D24" s="215">
        <f>IF('IV. Data Inputs-PE'!$D$42="Yes",1,'IV. Data Inputs-PE'!D54)</f>
        <v>1</v>
      </c>
      <c r="E24" s="215">
        <f>'IV. Data Inputs-PE'!E54</f>
        <v>0</v>
      </c>
      <c r="F24" s="215">
        <f>'IV. Data Inputs-PE'!F54</f>
        <v>0</v>
      </c>
      <c r="G24" s="141">
        <f>IFERROR(IF('III. Data Inputs-BE'!D41=0, 0, IF('IV. Data Inputs-PE'!$D$35="Yes",'IV. Data Inputs-PE'!C72,(E24*F24)*0.0423*0.000454*(520/C24)*(D24/1))),0)</f>
        <v>0</v>
      </c>
      <c r="H24" s="215">
        <f>'IV. Data Inputs-PE'!C25</f>
        <v>0</v>
      </c>
      <c r="I24" s="215">
        <f>'IV. Data Inputs-PE'!E25</f>
        <v>0</v>
      </c>
      <c r="J24" s="141">
        <f t="shared" si="2"/>
        <v>0</v>
      </c>
      <c r="K24" s="141">
        <f t="shared" si="0"/>
        <v>0</v>
      </c>
      <c r="L24" s="216">
        <f t="shared" si="3"/>
        <v>0</v>
      </c>
      <c r="M24" s="216">
        <f t="shared" si="1"/>
        <v>0</v>
      </c>
    </row>
    <row r="25" spans="2:13" x14ac:dyDescent="0.25">
      <c r="B25" s="287" t="str">
        <f>'III. Data Inputs-BE'!B42</f>
        <v>October</v>
      </c>
      <c r="C25" s="215">
        <f>IF('IV. Data Inputs-PE'!$D$42="Yes",520,'IV. Data Inputs-PE'!C55)</f>
        <v>520</v>
      </c>
      <c r="D25" s="215">
        <f>IF('IV. Data Inputs-PE'!$D$42="Yes",1,'IV. Data Inputs-PE'!D55)</f>
        <v>1</v>
      </c>
      <c r="E25" s="215">
        <f>'IV. Data Inputs-PE'!E55</f>
        <v>0</v>
      </c>
      <c r="F25" s="215">
        <f>'IV. Data Inputs-PE'!F55</f>
        <v>0</v>
      </c>
      <c r="G25" s="141">
        <f>IFERROR(IF('III. Data Inputs-BE'!D42=0, 0, IF('IV. Data Inputs-PE'!$D$35="Yes",'IV. Data Inputs-PE'!C73,(E25*F25)*0.0423*0.000454*(520/C25)*(D25/1))),0)</f>
        <v>0</v>
      </c>
      <c r="H25" s="215">
        <f>'IV. Data Inputs-PE'!C26</f>
        <v>0</v>
      </c>
      <c r="I25" s="215">
        <f>'IV. Data Inputs-PE'!E26</f>
        <v>0</v>
      </c>
      <c r="J25" s="141">
        <f t="shared" si="2"/>
        <v>0</v>
      </c>
      <c r="K25" s="141">
        <f t="shared" si="0"/>
        <v>0</v>
      </c>
      <c r="L25" s="216">
        <f t="shared" si="3"/>
        <v>0</v>
      </c>
      <c r="M25" s="216">
        <f t="shared" si="1"/>
        <v>0</v>
      </c>
    </row>
    <row r="26" spans="2:13" x14ac:dyDescent="0.25">
      <c r="B26" s="287" t="str">
        <f>'III. Data Inputs-BE'!B43</f>
        <v>November</v>
      </c>
      <c r="C26" s="215">
        <f>IF('IV. Data Inputs-PE'!$D$42="Yes",520,'IV. Data Inputs-PE'!C56)</f>
        <v>520</v>
      </c>
      <c r="D26" s="215">
        <f>IF('IV. Data Inputs-PE'!$D$42="Yes",1,'IV. Data Inputs-PE'!D56)</f>
        <v>1</v>
      </c>
      <c r="E26" s="215">
        <f>'IV. Data Inputs-PE'!E56</f>
        <v>0</v>
      </c>
      <c r="F26" s="215">
        <f>'IV. Data Inputs-PE'!F56</f>
        <v>0</v>
      </c>
      <c r="G26" s="141">
        <f>IFERROR(IF('III. Data Inputs-BE'!D43=0, 0, IF('IV. Data Inputs-PE'!$D$35="Yes",'IV. Data Inputs-PE'!C74,(E26*F26)*0.0423*0.000454*(520/C26)*(D26/1))),0)</f>
        <v>0</v>
      </c>
      <c r="H26" s="215">
        <f>'IV. Data Inputs-PE'!C27</f>
        <v>0</v>
      </c>
      <c r="I26" s="215">
        <f>'IV. Data Inputs-PE'!E27</f>
        <v>0</v>
      </c>
      <c r="J26" s="141">
        <f t="shared" si="2"/>
        <v>0</v>
      </c>
      <c r="K26" s="141">
        <f t="shared" si="0"/>
        <v>0</v>
      </c>
      <c r="L26" s="216">
        <f t="shared" si="3"/>
        <v>0</v>
      </c>
      <c r="M26" s="216">
        <f t="shared" si="1"/>
        <v>0</v>
      </c>
    </row>
    <row r="27" spans="2:13" x14ac:dyDescent="0.25">
      <c r="B27" s="413" t="str">
        <f>'III. Data Inputs-BE'!B44</f>
        <v>December</v>
      </c>
      <c r="C27" s="414">
        <f>IF('IV. Data Inputs-PE'!$D$42="Yes",520,'IV. Data Inputs-PE'!C57)</f>
        <v>520</v>
      </c>
      <c r="D27" s="414">
        <f>IF('IV. Data Inputs-PE'!$D$42="Yes",1,'IV. Data Inputs-PE'!D57)</f>
        <v>1</v>
      </c>
      <c r="E27" s="414">
        <f>'IV. Data Inputs-PE'!E57</f>
        <v>0</v>
      </c>
      <c r="F27" s="414">
        <f>'IV. Data Inputs-PE'!F57</f>
        <v>0</v>
      </c>
      <c r="G27" s="141">
        <f>IFERROR(IF('III. Data Inputs-BE'!D44=0, 0, IF('IV. Data Inputs-PE'!$D$35="Yes",'IV. Data Inputs-PE'!C75,(E27*F27)*0.0423*0.000454*(520/C27)*(D27/1))),0)</f>
        <v>0</v>
      </c>
      <c r="H27" s="215">
        <f>'IV. Data Inputs-PE'!C28</f>
        <v>0</v>
      </c>
      <c r="I27" s="215">
        <f>'IV. Data Inputs-PE'!E28</f>
        <v>0</v>
      </c>
      <c r="J27" s="141">
        <f t="shared" si="2"/>
        <v>0</v>
      </c>
      <c r="K27" s="141">
        <f t="shared" si="0"/>
        <v>0</v>
      </c>
      <c r="L27" s="216">
        <f t="shared" si="3"/>
        <v>0</v>
      </c>
      <c r="M27" s="216">
        <f t="shared" si="1"/>
        <v>0</v>
      </c>
    </row>
    <row r="28" spans="2:13" ht="13" x14ac:dyDescent="0.3">
      <c r="B28" s="415" t="s">
        <v>445</v>
      </c>
      <c r="C28" s="416"/>
      <c r="D28" s="416"/>
      <c r="E28" s="417"/>
      <c r="F28" s="377"/>
      <c r="G28" s="141">
        <f>SUM(G16:G27)</f>
        <v>0</v>
      </c>
      <c r="H28" s="126"/>
      <c r="I28" s="126"/>
      <c r="J28" s="433">
        <f>SUM(J16:J27)</f>
        <v>0</v>
      </c>
      <c r="K28" s="433">
        <f>SUM(K16:K27)</f>
        <v>0</v>
      </c>
      <c r="L28" s="433">
        <f>SUM(L16:L27)</f>
        <v>0</v>
      </c>
      <c r="M28" s="433">
        <f>SUM(M16:M27)</f>
        <v>0</v>
      </c>
    </row>
    <row r="30" spans="2:13" ht="13" thickBot="1" x14ac:dyDescent="0.3"/>
    <row r="31" spans="2:13" x14ac:dyDescent="0.25">
      <c r="B31" s="609" t="s">
        <v>229</v>
      </c>
      <c r="C31" s="610"/>
      <c r="D31" s="610"/>
      <c r="E31" s="610"/>
      <c r="F31" s="610"/>
      <c r="G31" s="610"/>
      <c r="H31" s="610"/>
      <c r="I31" s="610"/>
      <c r="J31" s="611"/>
    </row>
    <row r="32" spans="2:13" x14ac:dyDescent="0.25">
      <c r="B32" s="612"/>
      <c r="C32" s="578"/>
      <c r="D32" s="578"/>
      <c r="E32" s="578"/>
      <c r="F32" s="578"/>
      <c r="G32" s="578"/>
      <c r="H32" s="578"/>
      <c r="I32" s="578"/>
      <c r="J32" s="613"/>
    </row>
    <row r="33" spans="2:10" x14ac:dyDescent="0.25">
      <c r="B33" s="612"/>
      <c r="C33" s="578"/>
      <c r="D33" s="578"/>
      <c r="E33" s="578"/>
      <c r="F33" s="578"/>
      <c r="G33" s="578"/>
      <c r="H33" s="578"/>
      <c r="I33" s="578"/>
      <c r="J33" s="613"/>
    </row>
    <row r="34" spans="2:10" x14ac:dyDescent="0.25">
      <c r="B34" s="612"/>
      <c r="C34" s="578"/>
      <c r="D34" s="578"/>
      <c r="E34" s="578"/>
      <c r="F34" s="578"/>
      <c r="G34" s="578"/>
      <c r="H34" s="578"/>
      <c r="I34" s="578"/>
      <c r="J34" s="613"/>
    </row>
    <row r="35" spans="2:10" x14ac:dyDescent="0.25">
      <c r="B35" s="612"/>
      <c r="C35" s="578"/>
      <c r="D35" s="578"/>
      <c r="E35" s="578"/>
      <c r="F35" s="578"/>
      <c r="G35" s="578"/>
      <c r="H35" s="578"/>
      <c r="I35" s="578"/>
      <c r="J35" s="613"/>
    </row>
    <row r="36" spans="2:10" x14ac:dyDescent="0.25">
      <c r="B36" s="612"/>
      <c r="C36" s="578"/>
      <c r="D36" s="578"/>
      <c r="E36" s="578"/>
      <c r="F36" s="578"/>
      <c r="G36" s="578"/>
      <c r="H36" s="578"/>
      <c r="I36" s="578"/>
      <c r="J36" s="613"/>
    </row>
    <row r="37" spans="2:10" ht="13" thickBot="1" x14ac:dyDescent="0.3">
      <c r="B37" s="614"/>
      <c r="C37" s="615"/>
      <c r="D37" s="615"/>
      <c r="E37" s="615"/>
      <c r="F37" s="615"/>
      <c r="G37" s="615"/>
      <c r="H37" s="615"/>
      <c r="I37" s="615"/>
      <c r="J37" s="616"/>
    </row>
  </sheetData>
  <sheetProtection algorithmName="SHA-512" hashValue="U8Xoh5CMKJzp1iy4uiyfU7HgfHB/YAmX6z89Od509KWkW7lijNtQQEOHdOrHLylQQzeBsKv/2K5oRGpuOu780A==" saltValue="oxGIt15mpsaYdMzieM5ryw==" spinCount="100000" sheet="1" objects="1" scenarios="1"/>
  <customSheetViews>
    <customSheetView guid="{A6F5A5FB-2E6E-47D3-842C-0D3D06DB341A}" scale="75">
      <selection activeCell="C2" sqref="C2"/>
      <pageMargins left="0" right="0" top="0" bottom="0" header="0" footer="0"/>
      <pageSetup scale="64" orientation="landscape" horizontalDpi="1200" verticalDpi="1200" r:id="rId1"/>
      <headerFooter alignWithMargins="0"/>
    </customSheetView>
  </customSheetViews>
  <mergeCells count="3">
    <mergeCell ref="C7:F7"/>
    <mergeCell ref="B31:J37"/>
    <mergeCell ref="C8:F8"/>
  </mergeCells>
  <phoneticPr fontId="2" type="noConversion"/>
  <pageMargins left="0.75" right="0.75" top="1" bottom="1" header="0.5" footer="0.5"/>
  <pageSetup scale="64" orientation="landscape" horizontalDpi="1200" verticalDpi="1200" r:id="rId2"/>
  <headerFooter alignWithMargins="0"/>
  <ignoredErrors>
    <ignoredError sqref="L16 L17:L27"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J38"/>
  <sheetViews>
    <sheetView showGridLines="0" zoomScale="80" zoomScaleNormal="80" workbookViewId="0">
      <selection activeCell="C20" sqref="C20"/>
    </sheetView>
  </sheetViews>
  <sheetFormatPr defaultColWidth="9.1796875" defaultRowHeight="12.5" x14ac:dyDescent="0.25"/>
  <cols>
    <col min="1" max="1" width="4" style="13" customWidth="1"/>
    <col min="2" max="2" width="15.7265625" style="13" customWidth="1"/>
    <col min="3" max="3" width="33.7265625" style="13" bestFit="1" customWidth="1"/>
    <col min="4" max="4" width="12.81640625" style="13" bestFit="1" customWidth="1"/>
    <col min="5" max="5" width="8.54296875" style="13" bestFit="1" customWidth="1"/>
    <col min="6" max="6" width="15.1796875" style="13" bestFit="1" customWidth="1"/>
    <col min="7" max="7" width="18.81640625" style="13" bestFit="1" customWidth="1"/>
    <col min="8" max="8" width="8.453125" style="13" bestFit="1" customWidth="1"/>
    <col min="9" max="9" width="21.453125" style="13" bestFit="1" customWidth="1"/>
    <col min="10" max="16384" width="9.1796875" style="13"/>
  </cols>
  <sheetData>
    <row r="1" spans="2:9" ht="13" x14ac:dyDescent="0.3">
      <c r="B1" s="14" t="s">
        <v>0</v>
      </c>
      <c r="F1" s="46"/>
    </row>
    <row r="2" spans="2:9" ht="13" x14ac:dyDescent="0.3">
      <c r="B2" s="14" t="s">
        <v>116</v>
      </c>
      <c r="F2" s="46"/>
    </row>
    <row r="3" spans="2:9" ht="13" x14ac:dyDescent="0.3">
      <c r="B3" s="14"/>
      <c r="F3" s="46"/>
    </row>
    <row r="4" spans="2:9" ht="18" x14ac:dyDescent="0.4">
      <c r="B4" s="15" t="s">
        <v>446</v>
      </c>
      <c r="F4" s="46"/>
    </row>
    <row r="5" spans="2:9" ht="13" x14ac:dyDescent="0.3">
      <c r="B5" s="3"/>
      <c r="F5" s="46"/>
    </row>
    <row r="6" spans="2:9" ht="13" x14ac:dyDescent="0.3">
      <c r="B6" s="3" t="s">
        <v>118</v>
      </c>
      <c r="C6" s="26"/>
      <c r="D6" s="27"/>
      <c r="E6" s="46"/>
      <c r="F6" s="46"/>
      <c r="G6" s="46"/>
      <c r="H6" s="46"/>
      <c r="I6" s="46"/>
    </row>
    <row r="7" spans="2:9" ht="13" x14ac:dyDescent="0.3">
      <c r="B7" s="211" t="s">
        <v>119</v>
      </c>
      <c r="C7" s="95" t="s">
        <v>174</v>
      </c>
      <c r="D7" s="217"/>
      <c r="E7" s="217"/>
      <c r="F7" s="179"/>
      <c r="G7" s="46"/>
      <c r="H7" s="46"/>
      <c r="I7" s="46"/>
    </row>
    <row r="8" spans="2:9" ht="13" x14ac:dyDescent="0.3">
      <c r="B8" s="213" t="s">
        <v>121</v>
      </c>
      <c r="C8" s="205" t="s">
        <v>122</v>
      </c>
      <c r="D8" s="218"/>
      <c r="E8" s="218"/>
      <c r="F8" s="219"/>
      <c r="G8" s="46"/>
      <c r="H8" s="46"/>
      <c r="I8" s="46"/>
    </row>
    <row r="9" spans="2:9" ht="13" x14ac:dyDescent="0.3">
      <c r="B9" s="214" t="s">
        <v>177</v>
      </c>
      <c r="C9" s="622" t="s">
        <v>178</v>
      </c>
      <c r="D9" s="623"/>
      <c r="E9" s="623"/>
      <c r="F9" s="624"/>
      <c r="G9" s="46"/>
      <c r="H9" s="46"/>
      <c r="I9" s="46"/>
    </row>
    <row r="10" spans="2:9" ht="13" x14ac:dyDescent="0.3">
      <c r="B10" s="251" t="s">
        <v>179</v>
      </c>
      <c r="C10" s="254" t="s">
        <v>180</v>
      </c>
      <c r="D10" s="256"/>
      <c r="E10" s="256"/>
      <c r="F10" s="257"/>
      <c r="G10" s="46"/>
      <c r="H10" s="46"/>
      <c r="I10" s="46"/>
    </row>
    <row r="11" spans="2:9" x14ac:dyDescent="0.25">
      <c r="F11" s="46"/>
      <c r="G11" s="46"/>
      <c r="H11" s="46"/>
      <c r="I11" s="46"/>
    </row>
    <row r="12" spans="2:9" ht="13" x14ac:dyDescent="0.3">
      <c r="B12" s="100" t="s">
        <v>282</v>
      </c>
      <c r="F12" s="46"/>
    </row>
    <row r="13" spans="2:9" ht="33" customHeight="1" x14ac:dyDescent="0.25">
      <c r="B13" s="220" t="s">
        <v>447</v>
      </c>
      <c r="F13" s="46"/>
    </row>
    <row r="14" spans="2:9" ht="15.5" x14ac:dyDescent="0.35">
      <c r="B14" s="209" t="s">
        <v>448</v>
      </c>
      <c r="F14" s="46"/>
    </row>
    <row r="15" spans="2:9" ht="50.25" customHeight="1" x14ac:dyDescent="0.25">
      <c r="B15" s="555" t="s">
        <v>449</v>
      </c>
      <c r="C15" s="555"/>
      <c r="D15" s="555"/>
      <c r="E15" s="555"/>
      <c r="F15" s="555"/>
      <c r="G15" s="555"/>
      <c r="H15" s="555"/>
      <c r="I15" s="555"/>
    </row>
    <row r="16" spans="2:9" s="4" customFormat="1" ht="30" x14ac:dyDescent="0.4">
      <c r="B16" s="128" t="s">
        <v>195</v>
      </c>
      <c r="C16" s="365" t="s">
        <v>341</v>
      </c>
      <c r="D16" s="128" t="s">
        <v>342</v>
      </c>
      <c r="E16" s="365" t="s">
        <v>343</v>
      </c>
      <c r="F16" s="365" t="s">
        <v>450</v>
      </c>
      <c r="G16" s="365" t="s">
        <v>451</v>
      </c>
      <c r="H16" s="368" t="s">
        <v>452</v>
      </c>
      <c r="I16" s="368" t="s">
        <v>453</v>
      </c>
    </row>
    <row r="17" spans="2:10" s="4" customFormat="1" ht="13" x14ac:dyDescent="0.3">
      <c r="B17" s="294" t="str">
        <f>'III. Data Inputs-BE'!B33</f>
        <v>January</v>
      </c>
      <c r="C17" s="418">
        <f>'IV. Data Inputs-PE'!C80</f>
        <v>0</v>
      </c>
      <c r="D17" s="418">
        <f>'IV. Data Inputs-PE'!D80</f>
        <v>0</v>
      </c>
      <c r="E17" s="418">
        <f>'IV. Data Inputs-PE'!E80</f>
        <v>0</v>
      </c>
      <c r="F17" s="140">
        <v>4.2299999999999997E-2</v>
      </c>
      <c r="G17" s="140">
        <v>4.5399999999999998E-4</v>
      </c>
      <c r="H17" s="419">
        <f>(C17+(D17*E17))*F17*G17*'VIII. PE CH4(BCS)'!F16</f>
        <v>0</v>
      </c>
      <c r="I17" s="419">
        <f t="shared" ref="I17:I28" si="0">H17*gwp_ch4</f>
        <v>0</v>
      </c>
    </row>
    <row r="18" spans="2:10" s="4" customFormat="1" ht="13" x14ac:dyDescent="0.3">
      <c r="B18" s="294" t="str">
        <f>'III. Data Inputs-BE'!B34</f>
        <v>February</v>
      </c>
      <c r="C18" s="418">
        <f>'IV. Data Inputs-PE'!C81</f>
        <v>0</v>
      </c>
      <c r="D18" s="418">
        <f>'IV. Data Inputs-PE'!D81</f>
        <v>0</v>
      </c>
      <c r="E18" s="418">
        <f>'IV. Data Inputs-PE'!E81</f>
        <v>0</v>
      </c>
      <c r="F18" s="140">
        <v>4.2299999999999997E-2</v>
      </c>
      <c r="G18" s="140">
        <v>4.5399999999999998E-4</v>
      </c>
      <c r="H18" s="419">
        <f>(C18+(D18*E18))*F18*G18*'VIII. PE CH4(BCS)'!F17</f>
        <v>0</v>
      </c>
      <c r="I18" s="419">
        <f t="shared" si="0"/>
        <v>0</v>
      </c>
    </row>
    <row r="19" spans="2:10" s="4" customFormat="1" ht="13" x14ac:dyDescent="0.3">
      <c r="B19" s="294" t="str">
        <f>'III. Data Inputs-BE'!B35</f>
        <v>March</v>
      </c>
      <c r="C19" s="418">
        <f>'IV. Data Inputs-PE'!C82</f>
        <v>0</v>
      </c>
      <c r="D19" s="418">
        <f>'IV. Data Inputs-PE'!D82</f>
        <v>0</v>
      </c>
      <c r="E19" s="418">
        <f>'IV. Data Inputs-PE'!E82</f>
        <v>0</v>
      </c>
      <c r="F19" s="140">
        <v>4.2299999999999997E-2</v>
      </c>
      <c r="G19" s="140">
        <v>4.5399999999999998E-4</v>
      </c>
      <c r="H19" s="419">
        <f>(C19+(D19*E19))*F19*G19*'VIII. PE CH4(BCS)'!F18</f>
        <v>0</v>
      </c>
      <c r="I19" s="419">
        <f t="shared" si="0"/>
        <v>0</v>
      </c>
    </row>
    <row r="20" spans="2:10" s="4" customFormat="1" ht="13" x14ac:dyDescent="0.3">
      <c r="B20" s="294" t="str">
        <f>'III. Data Inputs-BE'!B36</f>
        <v>April</v>
      </c>
      <c r="C20" s="418">
        <f>'IV. Data Inputs-PE'!C83</f>
        <v>0</v>
      </c>
      <c r="D20" s="418">
        <f>'IV. Data Inputs-PE'!D83</f>
        <v>0</v>
      </c>
      <c r="E20" s="418">
        <f>'IV. Data Inputs-PE'!E83</f>
        <v>0</v>
      </c>
      <c r="F20" s="140">
        <v>4.2299999999999997E-2</v>
      </c>
      <c r="G20" s="140">
        <v>4.5399999999999998E-4</v>
      </c>
      <c r="H20" s="419">
        <f>(C20+(D20*E20))*F20*G20*'VIII. PE CH4(BCS)'!F19</f>
        <v>0</v>
      </c>
      <c r="I20" s="419">
        <f t="shared" si="0"/>
        <v>0</v>
      </c>
    </row>
    <row r="21" spans="2:10" s="4" customFormat="1" ht="13" x14ac:dyDescent="0.3">
      <c r="B21" s="294" t="str">
        <f>'III. Data Inputs-BE'!B37</f>
        <v>May</v>
      </c>
      <c r="C21" s="418">
        <f>'IV. Data Inputs-PE'!C84</f>
        <v>0</v>
      </c>
      <c r="D21" s="418">
        <f>'IV. Data Inputs-PE'!D84</f>
        <v>0</v>
      </c>
      <c r="E21" s="418">
        <f>'IV. Data Inputs-PE'!E84</f>
        <v>0</v>
      </c>
      <c r="F21" s="140">
        <v>4.2299999999999997E-2</v>
      </c>
      <c r="G21" s="140">
        <v>4.5399999999999998E-4</v>
      </c>
      <c r="H21" s="419">
        <f>(C21+(D21*E21))*F21*G21*'VIII. PE CH4(BCS)'!F20</f>
        <v>0</v>
      </c>
      <c r="I21" s="419">
        <f t="shared" si="0"/>
        <v>0</v>
      </c>
    </row>
    <row r="22" spans="2:10" s="4" customFormat="1" ht="13" x14ac:dyDescent="0.3">
      <c r="B22" s="294" t="str">
        <f>'III. Data Inputs-BE'!B38</f>
        <v>June</v>
      </c>
      <c r="C22" s="418">
        <f>'IV. Data Inputs-PE'!C85</f>
        <v>0</v>
      </c>
      <c r="D22" s="418">
        <f>'IV. Data Inputs-PE'!D85</f>
        <v>0</v>
      </c>
      <c r="E22" s="418">
        <f>'IV. Data Inputs-PE'!E85</f>
        <v>0</v>
      </c>
      <c r="F22" s="140">
        <v>4.2299999999999997E-2</v>
      </c>
      <c r="G22" s="140">
        <v>4.5399999999999998E-4</v>
      </c>
      <c r="H22" s="419">
        <f>(C22+(D22*E22))*F22*G22*'VIII. PE CH4(BCS)'!F21</f>
        <v>0</v>
      </c>
      <c r="I22" s="419">
        <f t="shared" si="0"/>
        <v>0</v>
      </c>
    </row>
    <row r="23" spans="2:10" s="4" customFormat="1" ht="13" x14ac:dyDescent="0.3">
      <c r="B23" s="294" t="str">
        <f>'III. Data Inputs-BE'!B39</f>
        <v>July</v>
      </c>
      <c r="C23" s="418">
        <f>'IV. Data Inputs-PE'!C86</f>
        <v>0</v>
      </c>
      <c r="D23" s="418">
        <f>'IV. Data Inputs-PE'!D86</f>
        <v>0</v>
      </c>
      <c r="E23" s="418">
        <f>'IV. Data Inputs-PE'!E86</f>
        <v>0</v>
      </c>
      <c r="F23" s="140">
        <v>4.2299999999999997E-2</v>
      </c>
      <c r="G23" s="140">
        <v>4.5399999999999998E-4</v>
      </c>
      <c r="H23" s="419">
        <f>(C23+(D23*E23))*F23*G23*'VIII. PE CH4(BCS)'!F22</f>
        <v>0</v>
      </c>
      <c r="I23" s="419">
        <f t="shared" si="0"/>
        <v>0</v>
      </c>
    </row>
    <row r="24" spans="2:10" s="4" customFormat="1" ht="13" x14ac:dyDescent="0.3">
      <c r="B24" s="294" t="str">
        <f>'III. Data Inputs-BE'!B40</f>
        <v>August</v>
      </c>
      <c r="C24" s="418">
        <f>'IV. Data Inputs-PE'!C87</f>
        <v>0</v>
      </c>
      <c r="D24" s="418">
        <f>'IV. Data Inputs-PE'!D87</f>
        <v>0</v>
      </c>
      <c r="E24" s="418">
        <f>'IV. Data Inputs-PE'!E87</f>
        <v>0</v>
      </c>
      <c r="F24" s="140">
        <v>4.2299999999999997E-2</v>
      </c>
      <c r="G24" s="140">
        <v>4.5399999999999998E-4</v>
      </c>
      <c r="H24" s="419">
        <f>(C24+(D24*E24))*F24*G24*'VIII. PE CH4(BCS)'!F23</f>
        <v>0</v>
      </c>
      <c r="I24" s="419">
        <f t="shared" si="0"/>
        <v>0</v>
      </c>
    </row>
    <row r="25" spans="2:10" s="4" customFormat="1" ht="13" x14ac:dyDescent="0.3">
      <c r="B25" s="294" t="str">
        <f>'III. Data Inputs-BE'!B41</f>
        <v>September</v>
      </c>
      <c r="C25" s="418">
        <f>'IV. Data Inputs-PE'!C88</f>
        <v>0</v>
      </c>
      <c r="D25" s="418">
        <f>'IV. Data Inputs-PE'!D88</f>
        <v>0</v>
      </c>
      <c r="E25" s="418">
        <f>'IV. Data Inputs-PE'!E88</f>
        <v>0</v>
      </c>
      <c r="F25" s="140">
        <v>4.2299999999999997E-2</v>
      </c>
      <c r="G25" s="140">
        <v>4.5399999999999998E-4</v>
      </c>
      <c r="H25" s="419">
        <f>(C25+(D25*E25))*F25*G25*'VIII. PE CH4(BCS)'!F24</f>
        <v>0</v>
      </c>
      <c r="I25" s="419">
        <f t="shared" si="0"/>
        <v>0</v>
      </c>
    </row>
    <row r="26" spans="2:10" s="4" customFormat="1" ht="13" x14ac:dyDescent="0.3">
      <c r="B26" s="294" t="str">
        <f>'III. Data Inputs-BE'!B42</f>
        <v>October</v>
      </c>
      <c r="C26" s="418">
        <f>'IV. Data Inputs-PE'!C89</f>
        <v>0</v>
      </c>
      <c r="D26" s="418">
        <f>'IV. Data Inputs-PE'!D89</f>
        <v>0</v>
      </c>
      <c r="E26" s="418">
        <f>'IV. Data Inputs-PE'!E89</f>
        <v>0</v>
      </c>
      <c r="F26" s="140">
        <v>4.2299999999999997E-2</v>
      </c>
      <c r="G26" s="140">
        <v>4.5399999999999998E-4</v>
      </c>
      <c r="H26" s="419">
        <f>(C26+(D26*E26))*F26*G26*'VIII. PE CH4(BCS)'!F25</f>
        <v>0</v>
      </c>
      <c r="I26" s="419">
        <f t="shared" si="0"/>
        <v>0</v>
      </c>
    </row>
    <row r="27" spans="2:10" s="4" customFormat="1" ht="13" x14ac:dyDescent="0.3">
      <c r="B27" s="294" t="str">
        <f>'III. Data Inputs-BE'!B43</f>
        <v>November</v>
      </c>
      <c r="C27" s="418">
        <f>'IV. Data Inputs-PE'!C90</f>
        <v>0</v>
      </c>
      <c r="D27" s="418">
        <f>'IV. Data Inputs-PE'!D90</f>
        <v>0</v>
      </c>
      <c r="E27" s="418">
        <f>'IV. Data Inputs-PE'!E90</f>
        <v>0</v>
      </c>
      <c r="F27" s="140">
        <v>4.2299999999999997E-2</v>
      </c>
      <c r="G27" s="140">
        <v>4.5399999999999998E-4</v>
      </c>
      <c r="H27" s="419">
        <f>(C27+(D27*E27))*F27*G27*'VIII. PE CH4(BCS)'!F26</f>
        <v>0</v>
      </c>
      <c r="I27" s="419">
        <f t="shared" si="0"/>
        <v>0</v>
      </c>
    </row>
    <row r="28" spans="2:10" s="4" customFormat="1" ht="13" x14ac:dyDescent="0.3">
      <c r="B28" s="294" t="str">
        <f>'III. Data Inputs-BE'!B44</f>
        <v>December</v>
      </c>
      <c r="C28" s="418">
        <f>'IV. Data Inputs-PE'!C91</f>
        <v>0</v>
      </c>
      <c r="D28" s="418">
        <f>'IV. Data Inputs-PE'!D91</f>
        <v>0</v>
      </c>
      <c r="E28" s="418">
        <f>'IV. Data Inputs-PE'!E91</f>
        <v>0</v>
      </c>
      <c r="F28" s="140">
        <v>4.2299999999999997E-2</v>
      </c>
      <c r="G28" s="140">
        <v>4.5399999999999998E-4</v>
      </c>
      <c r="H28" s="419">
        <f>(C28+(D28*E28))*F28*G28*'VIII. PE CH4(BCS)'!F27</f>
        <v>0</v>
      </c>
      <c r="I28" s="419">
        <f t="shared" si="0"/>
        <v>0</v>
      </c>
    </row>
    <row r="29" spans="2:10" s="4" customFormat="1" ht="13" x14ac:dyDescent="0.3">
      <c r="D29" s="13"/>
      <c r="E29" s="13"/>
      <c r="G29" s="221" t="s">
        <v>454</v>
      </c>
      <c r="H29" s="420">
        <f>SUM(H17:H28)</f>
        <v>0</v>
      </c>
      <c r="I29" s="420">
        <f>SUM(I17:I28)</f>
        <v>0</v>
      </c>
    </row>
    <row r="30" spans="2:10" s="4" customFormat="1" ht="13" x14ac:dyDescent="0.3">
      <c r="D30" s="13"/>
      <c r="E30" s="13"/>
      <c r="H30" s="51"/>
    </row>
    <row r="31" spans="2:10" ht="13" thickBot="1" x14ac:dyDescent="0.3">
      <c r="F31" s="46"/>
      <c r="H31" s="51"/>
    </row>
    <row r="32" spans="2:10" ht="12.75" customHeight="1" x14ac:dyDescent="0.25">
      <c r="B32" s="609" t="s">
        <v>229</v>
      </c>
      <c r="C32" s="610"/>
      <c r="D32" s="610"/>
      <c r="E32" s="610"/>
      <c r="F32" s="610"/>
      <c r="G32" s="610"/>
      <c r="H32" s="610"/>
      <c r="I32" s="611"/>
      <c r="J32" s="8"/>
    </row>
    <row r="33" spans="2:10" x14ac:dyDescent="0.25">
      <c r="B33" s="612"/>
      <c r="C33" s="578"/>
      <c r="D33" s="578"/>
      <c r="E33" s="578"/>
      <c r="F33" s="578"/>
      <c r="G33" s="578"/>
      <c r="H33" s="578"/>
      <c r="I33" s="613"/>
      <c r="J33" s="8"/>
    </row>
    <row r="34" spans="2:10" x14ac:dyDescent="0.25">
      <c r="B34" s="612"/>
      <c r="C34" s="578"/>
      <c r="D34" s="578"/>
      <c r="E34" s="578"/>
      <c r="F34" s="578"/>
      <c r="G34" s="578"/>
      <c r="H34" s="578"/>
      <c r="I34" s="613"/>
      <c r="J34" s="8"/>
    </row>
    <row r="35" spans="2:10" x14ac:dyDescent="0.25">
      <c r="B35" s="612"/>
      <c r="C35" s="578"/>
      <c r="D35" s="578"/>
      <c r="E35" s="578"/>
      <c r="F35" s="578"/>
      <c r="G35" s="578"/>
      <c r="H35" s="578"/>
      <c r="I35" s="613"/>
      <c r="J35" s="8"/>
    </row>
    <row r="36" spans="2:10" x14ac:dyDescent="0.25">
      <c r="B36" s="612"/>
      <c r="C36" s="578"/>
      <c r="D36" s="578"/>
      <c r="E36" s="578"/>
      <c r="F36" s="578"/>
      <c r="G36" s="578"/>
      <c r="H36" s="578"/>
      <c r="I36" s="613"/>
      <c r="J36" s="8"/>
    </row>
    <row r="37" spans="2:10" x14ac:dyDescent="0.25">
      <c r="B37" s="612"/>
      <c r="C37" s="578"/>
      <c r="D37" s="578"/>
      <c r="E37" s="578"/>
      <c r="F37" s="578"/>
      <c r="G37" s="578"/>
      <c r="H37" s="578"/>
      <c r="I37" s="613"/>
      <c r="J37" s="8"/>
    </row>
    <row r="38" spans="2:10" ht="13" thickBot="1" x14ac:dyDescent="0.3">
      <c r="B38" s="614"/>
      <c r="C38" s="615"/>
      <c r="D38" s="615"/>
      <c r="E38" s="615"/>
      <c r="F38" s="615"/>
      <c r="G38" s="615"/>
      <c r="H38" s="615"/>
      <c r="I38" s="616"/>
      <c r="J38" s="8"/>
    </row>
  </sheetData>
  <sheetProtection algorithmName="SHA-512" hashValue="QnxbXHnBT3+mNo8vTA3W1zAx2AJjTjRMX9AXEONUseIU9Ak2x7Sqp2Mn1JcVeIc0YVhHGStaRpbotyeBUc4Dcg==" saltValue="EMOthJLC03C4LI0eNNKqsA==" spinCount="100000" sheet="1" objects="1" scenarios="1"/>
  <mergeCells count="3">
    <mergeCell ref="C9:F9"/>
    <mergeCell ref="B15:I15"/>
    <mergeCell ref="B32:I38"/>
  </mergeCells>
  <phoneticPr fontId="8"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04007bd9-c0d9-4f27-a4ad-edebe3770499">
      <UserInfo>
        <DisplayName>Lauren Johnstone</DisplayName>
        <AccountId>28</AccountId>
        <AccountType/>
      </UserInfo>
    </SharedWithUsers>
    <IconOverlay xmlns="http://schemas.microsoft.com/sharepoint/v4" xsi:nil="true"/>
    <lcf76f155ced4ddcb4097134ff3c332f xmlns="9ac66888-105e-4e54-b39a-e32c984792c9">
      <Terms xmlns="http://schemas.microsoft.com/office/infopath/2007/PartnerControls"/>
    </lcf76f155ced4ddcb4097134ff3c332f>
    <TaxCatchAll xmlns="04007bd9-c0d9-4f27-a4ad-edebe3770499" xsi:nil="true"/>
    <Notes0 xmlns="9ac66888-105e-4e54-b39a-e32c984792c9" xsi:nil="true"/>
    <Status xmlns="9ac66888-105e-4e54-b39a-e32c984792c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1A29D138E81034AB3435EFB41AC1B6A" ma:contentTypeVersion="24" ma:contentTypeDescription="Create a new document." ma:contentTypeScope="" ma:versionID="9be5ada7e398f5cf13092a2d34df9151">
  <xsd:schema xmlns:xsd="http://www.w3.org/2001/XMLSchema" xmlns:xs="http://www.w3.org/2001/XMLSchema" xmlns:p="http://schemas.microsoft.com/office/2006/metadata/properties" xmlns:ns1="http://schemas.microsoft.com/sharepoint/v3" xmlns:ns2="04007bd9-c0d9-4f27-a4ad-edebe3770499" xmlns:ns3="9ac66888-105e-4e54-b39a-e32c984792c9" xmlns:ns4="http://schemas.microsoft.com/sharepoint/v4" targetNamespace="http://schemas.microsoft.com/office/2006/metadata/properties" ma:root="true" ma:fieldsID="71c333024ed8706908e5901d2555f8a3" ns1:_="" ns2:_="" ns3:_="" ns4:_="">
    <xsd:import namespace="http://schemas.microsoft.com/sharepoint/v3"/>
    <xsd:import namespace="04007bd9-c0d9-4f27-a4ad-edebe3770499"/>
    <xsd:import namespace="9ac66888-105e-4e54-b39a-e32c984792c9"/>
    <xsd:import namespace="http://schemas.microsoft.com/sharepoint/v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1:_ip_UnifiedCompliancePolicyProperties" minOccurs="0"/>
                <xsd:element ref="ns1:_ip_UnifiedCompliancePolicyUIAction" minOccurs="0"/>
                <xsd:element ref="ns3:MediaServiceOCR" minOccurs="0"/>
                <xsd:element ref="ns4:IconOverlay"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3:Notes0" minOccurs="0"/>
                <xsd:element ref="ns3:Statu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007bd9-c0d9-4f27-a4ad-edebe377049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6" nillable="true" ma:displayName="Taxonomy Catch All Column" ma:hidden="true" ma:list="{ed2a84d8-057f-40d4-980b-4ffb05458a53}" ma:internalName="TaxCatchAll" ma:showField="CatchAllData" ma:web="04007bd9-c0d9-4f27-a4ad-edebe377049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ac66888-105e-4e54-b39a-e32c984792c9"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b60be8d9-dffb-4556-ab96-06e42ee90ae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Notes0" ma:index="29" nillable="true" ma:displayName="Notes" ma:format="Dropdown" ma:internalName="Notes0">
      <xsd:simpleType>
        <xsd:restriction base="dms:Text">
          <xsd:maxLength value="255"/>
        </xsd:restriction>
      </xsd:simpleType>
    </xsd:element>
    <xsd:element name="Status" ma:index="30" nillable="true" ma:displayName="Status" ma:format="Dropdown" ma:internalName="Status">
      <xsd:simpleType>
        <xsd:restriction base="dms:Choice">
          <xsd:enumeration value="In Progress"/>
          <xsd:enumeration value="Archive"/>
          <xsd:enumeration value="Final"/>
        </xsd:restriction>
      </xsd:simpleType>
    </xsd:element>
    <xsd:element name="MediaServiceBillingMetadata" ma:index="3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6AA362-6255-4482-B94E-624CE1BBDB77}">
  <ds:schemaRefs>
    <ds:schemaRef ds:uri="http://purl.org/dc/terms/"/>
    <ds:schemaRef ds:uri="http://purl.org/dc/dcmitype/"/>
    <ds:schemaRef ds:uri="http://schemas.openxmlformats.org/package/2006/metadata/core-properties"/>
    <ds:schemaRef ds:uri="04007bd9-c0d9-4f27-a4ad-edebe3770499"/>
    <ds:schemaRef ds:uri="http://purl.org/dc/elements/1.1/"/>
    <ds:schemaRef ds:uri="http://schemas.microsoft.com/office/2006/documentManagement/types"/>
    <ds:schemaRef ds:uri="http://schemas.microsoft.com/sharepoint/v4"/>
    <ds:schemaRef ds:uri="http://schemas.microsoft.com/office/2006/metadata/properties"/>
    <ds:schemaRef ds:uri="http://www.w3.org/XML/1998/namespace"/>
    <ds:schemaRef ds:uri="http://schemas.microsoft.com/office/infopath/2007/PartnerControls"/>
    <ds:schemaRef ds:uri="9ac66888-105e-4e54-b39a-e32c984792c9"/>
    <ds:schemaRef ds:uri="http://schemas.microsoft.com/sharepoint/v3"/>
  </ds:schemaRefs>
</ds:datastoreItem>
</file>

<file path=customXml/itemProps2.xml><?xml version="1.0" encoding="utf-8"?>
<ds:datastoreItem xmlns:ds="http://schemas.openxmlformats.org/officeDocument/2006/customXml" ds:itemID="{28C5937C-9654-4EBB-97B9-7AAFBA2DFDA9}">
  <ds:schemaRefs>
    <ds:schemaRef ds:uri="http://schemas.microsoft.com/sharepoint/v3/contenttype/forms"/>
  </ds:schemaRefs>
</ds:datastoreItem>
</file>

<file path=customXml/itemProps3.xml><?xml version="1.0" encoding="utf-8"?>
<ds:datastoreItem xmlns:ds="http://schemas.openxmlformats.org/officeDocument/2006/customXml" ds:itemID="{0517716D-3132-498E-8A04-05129CF418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4007bd9-c0d9-4f27-a4ad-edebe3770499"/>
    <ds:schemaRef ds:uri="9ac66888-105e-4e54-b39a-e32c984792c9"/>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16</vt:i4>
      </vt:variant>
    </vt:vector>
  </HeadingPairs>
  <TitlesOfParts>
    <vt:vector size="30" baseType="lpstr">
      <vt:lpstr>I. Introduction</vt:lpstr>
      <vt:lpstr>II. Summary</vt:lpstr>
      <vt:lpstr>III. Data Inputs-BE</vt:lpstr>
      <vt:lpstr>IV. Data Inputs-PE</vt:lpstr>
      <vt:lpstr>V. BE CH4,AS</vt:lpstr>
      <vt:lpstr>VI. BE CH4,nAS</vt:lpstr>
      <vt:lpstr>VII. Total  BE CH4</vt:lpstr>
      <vt:lpstr>VIII. PE CH4(BCS)</vt:lpstr>
      <vt:lpstr>IX. PE CH4(V)</vt:lpstr>
      <vt:lpstr>X. PE CH4(ET)</vt:lpstr>
      <vt:lpstr>XI. PE CH4(nBCS)</vt:lpstr>
      <vt:lpstr>XII. Total PE CH4</vt:lpstr>
      <vt:lpstr>XIII. CO2</vt:lpstr>
      <vt:lpstr>XIV. Reference Tables</vt:lpstr>
      <vt:lpstr>'XIV. Reference Tables'!_Hlk165104982</vt:lpstr>
      <vt:lpstr>gwp_ch4</vt:lpstr>
      <vt:lpstr>gwp_n2o</vt:lpstr>
      <vt:lpstr>listmonths</vt:lpstr>
      <vt:lpstr>livestock_cat</vt:lpstr>
      <vt:lpstr>'I. Introduction'!Print_Area</vt:lpstr>
      <vt:lpstr>'III. Data Inputs-BE'!Print_Area</vt:lpstr>
      <vt:lpstr>'V. BE CH4,AS'!Print_Area</vt:lpstr>
      <vt:lpstr>'VI. BE CH4,nAS'!Print_Area</vt:lpstr>
      <vt:lpstr>'VII. Total  BE CH4'!Print_Area</vt:lpstr>
      <vt:lpstr>'VIII. PE CH4(BCS)'!Print_Area</vt:lpstr>
      <vt:lpstr>'X. PE CH4(ET)'!Print_Area</vt:lpstr>
      <vt:lpstr>'XI. PE CH4(nBCS)'!Print_Area</vt:lpstr>
      <vt:lpstr>'XII. Total PE CH4'!Print_Area</vt:lpstr>
      <vt:lpstr>'XIII. CO2'!Print_Area</vt:lpstr>
      <vt:lpstr>'XIV. Reference Tables'!Print_Area</vt:lpstr>
    </vt:vector>
  </TitlesOfParts>
  <Manager/>
  <Company>Climate Registry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Reserve Staff</dc:creator>
  <cp:keywords/>
  <dc:description/>
  <cp:lastModifiedBy>Rachel Mooney</cp:lastModifiedBy>
  <cp:revision/>
  <dcterms:created xsi:type="dcterms:W3CDTF">2007-03-26T19:06:34Z</dcterms:created>
  <dcterms:modified xsi:type="dcterms:W3CDTF">2025-04-14T14:58:23Z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0x01010001A29D138E81034AB3435EFB41AC1B6A</vt:lpwstr>
  </property>
  <property fmtid="{D5CDD505-2E9C-101B-9397-08002B2CF9AE}" pid="3" name="Order">
    <vt:r8>100</vt:r8>
  </property>
  <property fmtid="{D5CDD505-2E9C-101B-9397-08002B2CF9AE}" pid="4" name="MediaServiceImageTags">
    <vt:lpwstr/>
  </property>
</Properties>
</file>