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https://climateregistry.sharepoint.com/Public/Policy/Livestock/Calc Tool/COPtool/v2014k/"/>
    </mc:Choice>
  </mc:AlternateContent>
  <xr:revisionPtr revIDLastSave="11" documentId="14_{0712280A-293D-4D57-B50F-EA2635D49F27}" xr6:coauthVersionLast="47" xr6:coauthVersionMax="47" xr10:uidLastSave="{95168193-3407-4949-8A35-A9AA441ADF5C}"/>
  <bookViews>
    <workbookView xWindow="-110" yWindow="-110" windowWidth="19420" windowHeight="10420" tabRatio="788" firstSheet="8" activeTab="13" xr2:uid="{00000000-000D-0000-FFFF-FFFF00000000}"/>
  </bookViews>
  <sheets>
    <sheet name="I. Introduction" sheetId="1" r:id="rId1"/>
    <sheet name="II. Summary" sheetId="2" r:id="rId2"/>
    <sheet name="III. INPUT-Baseline" sheetId="3" r:id="rId3"/>
    <sheet name="IV. INPUT-Project" sheetId="4" r:id="rId4"/>
    <sheet name="V. Baseline Anaerobic CH4" sheetId="5" r:id="rId5"/>
    <sheet name="VI. Baseline Non-Anaerobic CH4" sheetId="6" r:id="rId6"/>
    <sheet name="VII. Baseline CH4" sheetId="7" r:id="rId7"/>
    <sheet name="VIII. Project CH4 (BCS)" sheetId="8" r:id="rId8"/>
    <sheet name="IX. Venting" sheetId="15" r:id="rId9"/>
    <sheet name="X. Effluent Pond" sheetId="9" r:id="rId10"/>
    <sheet name="XI. Project CH4 (non-BCS)" sheetId="10" r:id="rId11"/>
    <sheet name="XII. Project CH4" sheetId="11" r:id="rId12"/>
    <sheet name="XIII. CO2" sheetId="12" r:id="rId13"/>
    <sheet name="XIV. References" sheetId="13" r:id="rId14"/>
  </sheets>
  <definedNames>
    <definedName name="_xlnm._FilterDatabase" localSheetId="2" hidden="1">'III. INPUT-Baseline'!#REF!</definedName>
    <definedName name="_Hlk165104982" localSheetId="13">'XIV. References'!$B$9</definedName>
    <definedName name="gwp_ch4">'XIV. References'!$C$6</definedName>
    <definedName name="_xlnm.Print_Area" localSheetId="0">'I. Introduction'!$B$5:$B$40</definedName>
    <definedName name="_xlnm.Print_Area" localSheetId="2">'III. INPUT-Baseline'!$B$3:$M$190</definedName>
    <definedName name="_xlnm.Print_Area" localSheetId="4">'V. Baseline Anaerobic CH4'!$B$3:$J$440</definedName>
    <definedName name="_xlnm.Print_Area" localSheetId="5">'VI. Baseline Non-Anaerobic CH4'!$B$4:$J$168</definedName>
    <definedName name="_xlnm.Print_Area" localSheetId="6">'VII. Baseline CH4'!$B$4:$H$48</definedName>
    <definedName name="_xlnm.Print_Area" localSheetId="7">'VIII. Project CH4 (BCS)'!$B$4:$I$27</definedName>
    <definedName name="_xlnm.Print_Area" localSheetId="9">'X. Effluent Pond'!$B$4:$G$16</definedName>
    <definedName name="_xlnm.Print_Area" localSheetId="10">'XI. Project CH4 (non-BCS)'!$B$4:$F$228</definedName>
    <definedName name="_xlnm.Print_Area" localSheetId="11">'XII. Project CH4'!$B$4:$E$41</definedName>
    <definedName name="_xlnm.Print_Area" localSheetId="12">'XIII. CO2'!$B$4:$F$88</definedName>
    <definedName name="_xlnm.Print_Area" localSheetId="13">'XIV. References'!$B$4:$E$151</definedName>
    <definedName name="version">'I. Introduction'!$B$3</definedName>
    <definedName name="Z_A6F5A5FB_2E6E_47D3_842C_0D3D06DB341A_.wvu.Cols" localSheetId="0" hidden="1">'I. Introduction'!$F:$H</definedName>
    <definedName name="Z_A6F5A5FB_2E6E_47D3_842C_0D3D06DB341A_.wvu.Cols" localSheetId="4" hidden="1">'V. Baseline Anaerobic CH4'!$P:$Q</definedName>
    <definedName name="Z_A6F5A5FB_2E6E_47D3_842C_0D3D06DB341A_.wvu.FilterData" localSheetId="2" hidden="1">'III. INPUT-Baseline'!$E$53:$E$62</definedName>
    <definedName name="Z_A6F5A5FB_2E6E_47D3_842C_0D3D06DB341A_.wvu.PrintArea" localSheetId="0" hidden="1">'I. Introduction'!$B$5:$B$40</definedName>
    <definedName name="Z_A6F5A5FB_2E6E_47D3_842C_0D3D06DB341A_.wvu.PrintArea" localSheetId="2" hidden="1">'III. INPUT-Baseline'!$B$3:$M$190</definedName>
    <definedName name="Z_A6F5A5FB_2E6E_47D3_842C_0D3D06DB341A_.wvu.PrintArea" localSheetId="4" hidden="1">'V. Baseline Anaerobic CH4'!$B$3:$J$440</definedName>
    <definedName name="Z_A6F5A5FB_2E6E_47D3_842C_0D3D06DB341A_.wvu.PrintArea" localSheetId="5" hidden="1">'VI. Baseline Non-Anaerobic CH4'!$B$4:$J$168</definedName>
    <definedName name="Z_A6F5A5FB_2E6E_47D3_842C_0D3D06DB341A_.wvu.PrintArea" localSheetId="6" hidden="1">'VII. Baseline CH4'!$B$4:$H$48</definedName>
    <definedName name="Z_A6F5A5FB_2E6E_47D3_842C_0D3D06DB341A_.wvu.PrintArea" localSheetId="7" hidden="1">'VIII. Project CH4 (BCS)'!$B$4:$I$27</definedName>
    <definedName name="Z_A6F5A5FB_2E6E_47D3_842C_0D3D06DB341A_.wvu.PrintArea" localSheetId="9" hidden="1">'X. Effluent Pond'!$B$4:$G$16</definedName>
    <definedName name="Z_A6F5A5FB_2E6E_47D3_842C_0D3D06DB341A_.wvu.PrintArea" localSheetId="10" hidden="1">'XI. Project CH4 (non-BCS)'!$B$4:$F$228</definedName>
    <definedName name="Z_A6F5A5FB_2E6E_47D3_842C_0D3D06DB341A_.wvu.PrintArea" localSheetId="11" hidden="1">'XII. Project CH4'!$B$4:$E$41</definedName>
    <definedName name="Z_A6F5A5FB_2E6E_47D3_842C_0D3D06DB341A_.wvu.PrintArea" localSheetId="12" hidden="1">'XIII. CO2'!$B$4:$F$88</definedName>
    <definedName name="Z_A6F5A5FB_2E6E_47D3_842C_0D3D06DB341A_.wvu.PrintArea" localSheetId="13" hidden="1">'XIV. References'!$B$4:$E$151</definedName>
    <definedName name="Z_A6F5A5FB_2E6E_47D3_842C_0D3D06DB341A_.wvu.Rows" localSheetId="0" hidden="1">'I. Introduction'!#REF!,'I. Introduction'!#REF!</definedName>
  </definedNames>
  <calcPr calcId="191028"/>
  <customWorkbookViews>
    <customWorkbookView name="mdubuisson - Personal View" guid="{A6F5A5FB-2E6E-47D3-842C-0D3D06DB341A}" mergeInterval="0" personalView="1" maximized="1" windowWidth="1280" windowHeight="805" tabRatio="783"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5" i="8" l="1"/>
  <c r="N16" i="8"/>
  <c r="N17" i="8"/>
  <c r="N18" i="8"/>
  <c r="N19" i="8"/>
  <c r="N20" i="8"/>
  <c r="N21" i="8"/>
  <c r="N22" i="8"/>
  <c r="N23" i="8"/>
  <c r="N24" i="8"/>
  <c r="N25" i="8"/>
  <c r="N26" i="8"/>
  <c r="N14" i="8"/>
  <c r="I430" i="5" l="1"/>
  <c r="I431" i="5"/>
  <c r="I432" i="5"/>
  <c r="I433" i="5"/>
  <c r="I434" i="5"/>
  <c r="I435" i="5"/>
  <c r="I436" i="5"/>
  <c r="I437" i="5"/>
  <c r="I438" i="5"/>
  <c r="I439" i="5"/>
  <c r="I440" i="5"/>
  <c r="I441" i="5"/>
  <c r="I429" i="5"/>
  <c r="I409" i="5"/>
  <c r="I410" i="5"/>
  <c r="I411" i="5"/>
  <c r="I412" i="5"/>
  <c r="I413" i="5"/>
  <c r="I414" i="5"/>
  <c r="I415" i="5"/>
  <c r="I416" i="5"/>
  <c r="I417" i="5"/>
  <c r="I418" i="5"/>
  <c r="I419" i="5"/>
  <c r="I420" i="5"/>
  <c r="I408" i="5"/>
  <c r="I387" i="5"/>
  <c r="I388" i="5"/>
  <c r="I389" i="5"/>
  <c r="I390" i="5"/>
  <c r="I391" i="5"/>
  <c r="I392" i="5"/>
  <c r="I393" i="5"/>
  <c r="I394" i="5"/>
  <c r="I395" i="5"/>
  <c r="I396" i="5"/>
  <c r="I397" i="5"/>
  <c r="I398" i="5"/>
  <c r="I386" i="5"/>
  <c r="I366" i="5"/>
  <c r="I367" i="5"/>
  <c r="I368" i="5"/>
  <c r="I369" i="5"/>
  <c r="I370" i="5"/>
  <c r="I371" i="5"/>
  <c r="I372" i="5"/>
  <c r="I373" i="5"/>
  <c r="I374" i="5"/>
  <c r="I375" i="5"/>
  <c r="I376" i="5"/>
  <c r="I377" i="5"/>
  <c r="I365" i="5"/>
  <c r="I344" i="5"/>
  <c r="I345" i="5"/>
  <c r="I346" i="5"/>
  <c r="I347" i="5"/>
  <c r="I348" i="5"/>
  <c r="I349" i="5"/>
  <c r="I350" i="5"/>
  <c r="I351" i="5"/>
  <c r="I352" i="5"/>
  <c r="I353" i="5"/>
  <c r="I354" i="5"/>
  <c r="I355" i="5"/>
  <c r="I343" i="5"/>
  <c r="I322" i="5"/>
  <c r="I323" i="5"/>
  <c r="I324" i="5"/>
  <c r="I325" i="5"/>
  <c r="I326" i="5"/>
  <c r="I327" i="5"/>
  <c r="I328" i="5"/>
  <c r="I329" i="5"/>
  <c r="I330" i="5"/>
  <c r="I331" i="5"/>
  <c r="I332" i="5"/>
  <c r="I333" i="5"/>
  <c r="I321" i="5"/>
  <c r="I301" i="5"/>
  <c r="I302" i="5"/>
  <c r="I303" i="5"/>
  <c r="I304" i="5"/>
  <c r="I305" i="5"/>
  <c r="I306" i="5"/>
  <c r="I307" i="5"/>
  <c r="I308" i="5"/>
  <c r="I309" i="5"/>
  <c r="I310" i="5"/>
  <c r="I311" i="5"/>
  <c r="I312" i="5"/>
  <c r="I300" i="5"/>
  <c r="I280" i="5"/>
  <c r="I281" i="5"/>
  <c r="I282" i="5"/>
  <c r="I283" i="5"/>
  <c r="I284" i="5"/>
  <c r="I285" i="5"/>
  <c r="I286" i="5"/>
  <c r="I287" i="5"/>
  <c r="I288" i="5"/>
  <c r="I289" i="5"/>
  <c r="I290" i="5"/>
  <c r="I291" i="5"/>
  <c r="I279" i="5"/>
  <c r="I257" i="5"/>
  <c r="I258" i="5"/>
  <c r="I259" i="5"/>
  <c r="I260" i="5"/>
  <c r="I261" i="5"/>
  <c r="I262" i="5"/>
  <c r="I263" i="5"/>
  <c r="I264" i="5"/>
  <c r="I265" i="5"/>
  <c r="I266" i="5"/>
  <c r="I267" i="5"/>
  <c r="I268" i="5"/>
  <c r="I256" i="5"/>
  <c r="I236" i="5"/>
  <c r="I237" i="5"/>
  <c r="I238" i="5"/>
  <c r="I239" i="5"/>
  <c r="I240" i="5"/>
  <c r="I241" i="5"/>
  <c r="I242" i="5"/>
  <c r="I243" i="5"/>
  <c r="I244" i="5"/>
  <c r="I245" i="5"/>
  <c r="I246" i="5"/>
  <c r="I247" i="5"/>
  <c r="I235" i="5"/>
  <c r="I215" i="5"/>
  <c r="I216" i="5"/>
  <c r="I217" i="5"/>
  <c r="I218" i="5"/>
  <c r="I219" i="5"/>
  <c r="I220" i="5"/>
  <c r="I221" i="5"/>
  <c r="I222" i="5"/>
  <c r="I223" i="5"/>
  <c r="I224" i="5"/>
  <c r="I225" i="5"/>
  <c r="I226" i="5"/>
  <c r="I214" i="5"/>
  <c r="I193" i="5"/>
  <c r="I194" i="5"/>
  <c r="I195" i="5"/>
  <c r="I196" i="5"/>
  <c r="I197" i="5"/>
  <c r="I198" i="5"/>
  <c r="I199" i="5"/>
  <c r="I200" i="5"/>
  <c r="I201" i="5"/>
  <c r="I202" i="5"/>
  <c r="I203" i="5"/>
  <c r="I204" i="5"/>
  <c r="I192" i="5"/>
  <c r="I173" i="5"/>
  <c r="I174" i="5"/>
  <c r="I175" i="5"/>
  <c r="I176" i="5"/>
  <c r="I177" i="5"/>
  <c r="I178" i="5"/>
  <c r="I179" i="5"/>
  <c r="I180" i="5"/>
  <c r="I181" i="5"/>
  <c r="I182" i="5"/>
  <c r="I183" i="5"/>
  <c r="I184" i="5"/>
  <c r="I45" i="5"/>
  <c r="I46" i="5"/>
  <c r="I47" i="5"/>
  <c r="I48" i="5"/>
  <c r="I49" i="5"/>
  <c r="I50" i="5"/>
  <c r="I51" i="5"/>
  <c r="I52" i="5"/>
  <c r="I53" i="5"/>
  <c r="I54" i="5"/>
  <c r="I55" i="5"/>
  <c r="I56" i="5"/>
  <c r="I44" i="5"/>
  <c r="I172" i="5"/>
  <c r="I131" i="5"/>
  <c r="I132" i="5"/>
  <c r="I133" i="5"/>
  <c r="I134" i="5"/>
  <c r="I135" i="5"/>
  <c r="I136" i="5"/>
  <c r="I137" i="5"/>
  <c r="I138" i="5"/>
  <c r="I139" i="5"/>
  <c r="I140" i="5"/>
  <c r="I141" i="5"/>
  <c r="I142" i="5"/>
  <c r="I130" i="5"/>
  <c r="I89" i="5"/>
  <c r="I90" i="5"/>
  <c r="I91" i="5"/>
  <c r="I92" i="5"/>
  <c r="I93" i="5"/>
  <c r="I94" i="5"/>
  <c r="I95" i="5"/>
  <c r="I96" i="5"/>
  <c r="I97" i="5"/>
  <c r="I98" i="5"/>
  <c r="I99" i="5"/>
  <c r="I100" i="5"/>
  <c r="I88" i="5"/>
  <c r="I152" i="5"/>
  <c r="I153" i="5"/>
  <c r="I154" i="5"/>
  <c r="I155" i="5"/>
  <c r="I156" i="5"/>
  <c r="I157" i="5"/>
  <c r="I158" i="5"/>
  <c r="I159" i="5"/>
  <c r="I160" i="5"/>
  <c r="I161" i="5"/>
  <c r="I162" i="5"/>
  <c r="I163" i="5"/>
  <c r="I151" i="5"/>
  <c r="I110" i="5"/>
  <c r="I111" i="5"/>
  <c r="I112" i="5"/>
  <c r="I113" i="5"/>
  <c r="I114" i="5"/>
  <c r="I115" i="5"/>
  <c r="I116" i="5"/>
  <c r="I117" i="5"/>
  <c r="I118" i="5"/>
  <c r="I119" i="5"/>
  <c r="I120" i="5"/>
  <c r="I121" i="5"/>
  <c r="I109" i="5"/>
  <c r="I67" i="5"/>
  <c r="I68" i="5"/>
  <c r="I69" i="5"/>
  <c r="I70" i="5"/>
  <c r="I71" i="5"/>
  <c r="I72" i="5"/>
  <c r="I73" i="5"/>
  <c r="I74" i="5"/>
  <c r="I75" i="5"/>
  <c r="I76" i="5"/>
  <c r="I77" i="5"/>
  <c r="I78" i="5"/>
  <c r="I66" i="5"/>
  <c r="N27" i="8" l="1"/>
  <c r="I22" i="5"/>
  <c r="G15" i="8" l="1"/>
  <c r="G14" i="8"/>
  <c r="H48" i="3" l="1"/>
  <c r="I34" i="5"/>
  <c r="I33" i="5"/>
  <c r="I32" i="5"/>
  <c r="I31" i="5"/>
  <c r="I30" i="5"/>
  <c r="I29" i="5"/>
  <c r="I28" i="5"/>
  <c r="I27" i="5"/>
  <c r="I26" i="5"/>
  <c r="I25" i="5"/>
  <c r="I24" i="5"/>
  <c r="I23" i="5"/>
  <c r="B1" i="3" l="1"/>
  <c r="D441" i="5" l="1"/>
  <c r="D440" i="5"/>
  <c r="D439" i="5"/>
  <c r="D438" i="5"/>
  <c r="D437" i="5"/>
  <c r="D436" i="5"/>
  <c r="D435" i="5"/>
  <c r="D434" i="5"/>
  <c r="D433" i="5"/>
  <c r="D432" i="5"/>
  <c r="D431" i="5"/>
  <c r="D430" i="5"/>
  <c r="D429" i="5"/>
  <c r="D420" i="5"/>
  <c r="D419" i="5"/>
  <c r="D418" i="5"/>
  <c r="D417" i="5"/>
  <c r="D416" i="5"/>
  <c r="D415" i="5"/>
  <c r="D414" i="5"/>
  <c r="D413" i="5"/>
  <c r="D412" i="5"/>
  <c r="D411" i="5"/>
  <c r="D410" i="5"/>
  <c r="D409" i="5"/>
  <c r="D408" i="5"/>
  <c r="D398" i="5"/>
  <c r="D397" i="5"/>
  <c r="D396" i="5"/>
  <c r="D395" i="5"/>
  <c r="D394" i="5"/>
  <c r="D393" i="5"/>
  <c r="D392" i="5"/>
  <c r="D391" i="5"/>
  <c r="D390" i="5"/>
  <c r="D389" i="5"/>
  <c r="D388" i="5"/>
  <c r="D387" i="5"/>
  <c r="D386" i="5"/>
  <c r="D377" i="5"/>
  <c r="D376" i="5"/>
  <c r="D375" i="5"/>
  <c r="D374" i="5"/>
  <c r="D373" i="5"/>
  <c r="D372" i="5"/>
  <c r="D371" i="5"/>
  <c r="D370" i="5"/>
  <c r="D369" i="5"/>
  <c r="D368" i="5"/>
  <c r="D367" i="5"/>
  <c r="D366" i="5"/>
  <c r="D365" i="5"/>
  <c r="D355" i="5"/>
  <c r="D354" i="5"/>
  <c r="D353" i="5"/>
  <c r="D352" i="5"/>
  <c r="D351" i="5"/>
  <c r="D350" i="5"/>
  <c r="D349" i="5"/>
  <c r="D348" i="5"/>
  <c r="D347" i="5"/>
  <c r="D346" i="5"/>
  <c r="D345" i="5"/>
  <c r="D344" i="5"/>
  <c r="D343" i="5"/>
  <c r="D333" i="5"/>
  <c r="D332" i="5"/>
  <c r="D331" i="5"/>
  <c r="D330" i="5"/>
  <c r="D329" i="5"/>
  <c r="D328" i="5"/>
  <c r="D327" i="5"/>
  <c r="D326" i="5"/>
  <c r="D325" i="5"/>
  <c r="D324" i="5"/>
  <c r="D323" i="5"/>
  <c r="D322" i="5"/>
  <c r="D321" i="5"/>
  <c r="D312" i="5"/>
  <c r="D311" i="5"/>
  <c r="D310" i="5"/>
  <c r="D309" i="5"/>
  <c r="D308" i="5"/>
  <c r="D307" i="5"/>
  <c r="D306" i="5"/>
  <c r="D305" i="5"/>
  <c r="D304" i="5"/>
  <c r="D303" i="5"/>
  <c r="D302" i="5"/>
  <c r="D301" i="5"/>
  <c r="D300" i="5"/>
  <c r="D291" i="5"/>
  <c r="D290" i="5"/>
  <c r="D289" i="5"/>
  <c r="D288" i="5"/>
  <c r="D287" i="5"/>
  <c r="D286" i="5"/>
  <c r="D285" i="5"/>
  <c r="D284" i="5"/>
  <c r="D283" i="5"/>
  <c r="D282" i="5"/>
  <c r="D281" i="5"/>
  <c r="D280" i="5"/>
  <c r="D279" i="5"/>
  <c r="D268" i="5"/>
  <c r="D267" i="5"/>
  <c r="D266" i="5"/>
  <c r="D265" i="5"/>
  <c r="D264" i="5"/>
  <c r="D263" i="5"/>
  <c r="D262" i="5"/>
  <c r="D261" i="5"/>
  <c r="D260" i="5"/>
  <c r="D259" i="5"/>
  <c r="D258" i="5"/>
  <c r="D257" i="5"/>
  <c r="D256" i="5"/>
  <c r="D247" i="5"/>
  <c r="D246" i="5"/>
  <c r="D245" i="5"/>
  <c r="D244" i="5"/>
  <c r="D243" i="5"/>
  <c r="D242" i="5"/>
  <c r="D241" i="5"/>
  <c r="D240" i="5"/>
  <c r="D239" i="5"/>
  <c r="D238" i="5"/>
  <c r="D237" i="5"/>
  <c r="D236" i="5"/>
  <c r="D235" i="5"/>
  <c r="D226" i="5"/>
  <c r="D225" i="5"/>
  <c r="D224" i="5"/>
  <c r="D223" i="5"/>
  <c r="D222" i="5"/>
  <c r="D221" i="5"/>
  <c r="D220" i="5"/>
  <c r="D219" i="5"/>
  <c r="D218" i="5"/>
  <c r="D217" i="5"/>
  <c r="D216" i="5"/>
  <c r="D215" i="5"/>
  <c r="D214" i="5"/>
  <c r="D204" i="5"/>
  <c r="D203" i="5"/>
  <c r="D202" i="5"/>
  <c r="D201" i="5"/>
  <c r="D200" i="5"/>
  <c r="D199" i="5"/>
  <c r="D198" i="5"/>
  <c r="D197" i="5"/>
  <c r="D196" i="5"/>
  <c r="D195" i="5"/>
  <c r="D194" i="5"/>
  <c r="D193" i="5"/>
  <c r="D192" i="5"/>
  <c r="D184" i="5"/>
  <c r="D183" i="5"/>
  <c r="D182" i="5"/>
  <c r="D181" i="5"/>
  <c r="D180" i="5"/>
  <c r="D179" i="5"/>
  <c r="D178" i="5"/>
  <c r="D177" i="5"/>
  <c r="D176" i="5"/>
  <c r="D175" i="5"/>
  <c r="D174" i="5"/>
  <c r="D173" i="5"/>
  <c r="D172" i="5"/>
  <c r="D163" i="5"/>
  <c r="D162" i="5"/>
  <c r="D161" i="5"/>
  <c r="D160" i="5"/>
  <c r="D159" i="5"/>
  <c r="D158" i="5"/>
  <c r="D157" i="5"/>
  <c r="D156" i="5"/>
  <c r="D155" i="5"/>
  <c r="D154" i="5"/>
  <c r="D153" i="5"/>
  <c r="D152" i="5"/>
  <c r="D151" i="5"/>
  <c r="D142" i="5"/>
  <c r="D141" i="5"/>
  <c r="D140" i="5"/>
  <c r="D139" i="5"/>
  <c r="D138" i="5"/>
  <c r="D137" i="5"/>
  <c r="D136" i="5"/>
  <c r="D135" i="5"/>
  <c r="D134" i="5"/>
  <c r="D133" i="5"/>
  <c r="D132" i="5"/>
  <c r="D131" i="5"/>
  <c r="D130" i="5"/>
  <c r="D121" i="5"/>
  <c r="D120" i="5"/>
  <c r="D119" i="5"/>
  <c r="D118" i="5"/>
  <c r="D117" i="5"/>
  <c r="D116" i="5"/>
  <c r="D115" i="5"/>
  <c r="D114" i="5"/>
  <c r="D113" i="5"/>
  <c r="D112" i="5"/>
  <c r="D111" i="5"/>
  <c r="D110" i="5"/>
  <c r="D109" i="5"/>
  <c r="D100" i="5"/>
  <c r="D99" i="5"/>
  <c r="D98" i="5"/>
  <c r="D97" i="5"/>
  <c r="D96" i="5"/>
  <c r="D95" i="5"/>
  <c r="D94" i="5"/>
  <c r="D93" i="5"/>
  <c r="D92" i="5"/>
  <c r="D91" i="5"/>
  <c r="D90" i="5"/>
  <c r="D89" i="5"/>
  <c r="D88" i="5"/>
  <c r="D78" i="5"/>
  <c r="D77" i="5"/>
  <c r="D76" i="5"/>
  <c r="D75" i="5"/>
  <c r="D74" i="5"/>
  <c r="D73" i="5"/>
  <c r="D72" i="5"/>
  <c r="D71" i="5"/>
  <c r="D70" i="5"/>
  <c r="D69" i="5"/>
  <c r="D68" i="5"/>
  <c r="D67" i="5"/>
  <c r="D66" i="5"/>
  <c r="D56" i="5"/>
  <c r="D55" i="5"/>
  <c r="D54" i="5"/>
  <c r="D53" i="5"/>
  <c r="D52" i="5"/>
  <c r="D51" i="5"/>
  <c r="D50" i="5"/>
  <c r="D49" i="5"/>
  <c r="D48" i="5"/>
  <c r="D47" i="5"/>
  <c r="D46" i="5"/>
  <c r="D45" i="5"/>
  <c r="D44" i="5"/>
  <c r="D22" i="5"/>
  <c r="D24" i="5"/>
  <c r="D23" i="5" l="1"/>
  <c r="D25" i="5"/>
  <c r="D26" i="5"/>
  <c r="D27" i="5"/>
  <c r="D28" i="5"/>
  <c r="D29" i="5"/>
  <c r="D30" i="5"/>
  <c r="D31" i="5"/>
  <c r="D32" i="5"/>
  <c r="D33" i="5"/>
  <c r="D34" i="5"/>
  <c r="E28" i="15" l="1"/>
  <c r="D28" i="15"/>
  <c r="C28" i="15"/>
  <c r="H28" i="15" s="1"/>
  <c r="I28" i="15" s="1"/>
  <c r="I26" i="8"/>
  <c r="G26" i="8"/>
  <c r="F26" i="8"/>
  <c r="E26" i="8"/>
  <c r="D26" i="8"/>
  <c r="C26" i="8"/>
  <c r="L26" i="8" l="1"/>
  <c r="M26" i="8" s="1"/>
  <c r="F86" i="3" l="1"/>
  <c r="G86" i="3"/>
  <c r="H86" i="3"/>
  <c r="I86" i="3"/>
  <c r="J86" i="3"/>
  <c r="K86" i="3"/>
  <c r="L86" i="3"/>
  <c r="C15" i="8" l="1"/>
  <c r="C16" i="8"/>
  <c r="C17" i="8"/>
  <c r="C18" i="8"/>
  <c r="C19" i="8"/>
  <c r="C20" i="8"/>
  <c r="C21" i="8"/>
  <c r="C22" i="8"/>
  <c r="C23" i="8"/>
  <c r="C24" i="8"/>
  <c r="C25" i="8"/>
  <c r="C14" i="8"/>
  <c r="C29" i="4" l="1"/>
  <c r="H26" i="8" s="1"/>
  <c r="J26" i="8" s="1"/>
  <c r="K26" i="8" s="1"/>
  <c r="G47" i="3"/>
  <c r="B46" i="3"/>
  <c r="B45" i="3"/>
  <c r="B44" i="3"/>
  <c r="B43" i="3"/>
  <c r="B42" i="3"/>
  <c r="B41" i="3"/>
  <c r="B40" i="3"/>
  <c r="B39" i="3"/>
  <c r="B38" i="3"/>
  <c r="B37" i="3"/>
  <c r="B36" i="3"/>
  <c r="B35" i="3"/>
  <c r="E35" i="3" l="1"/>
  <c r="E47" i="3" s="1"/>
  <c r="C34" i="5" s="1"/>
  <c r="B414" i="5"/>
  <c r="B371" i="5"/>
  <c r="B327" i="5"/>
  <c r="B285" i="5"/>
  <c r="B241" i="5"/>
  <c r="B198" i="5"/>
  <c r="B220" i="5"/>
  <c r="B435" i="5"/>
  <c r="B262" i="5"/>
  <c r="B306" i="5"/>
  <c r="B349" i="5"/>
  <c r="B392" i="5"/>
  <c r="B178" i="5"/>
  <c r="B157" i="5"/>
  <c r="B432" i="5"/>
  <c r="B389" i="5"/>
  <c r="B346" i="5"/>
  <c r="B303" i="5"/>
  <c r="B259" i="5"/>
  <c r="B217" i="5"/>
  <c r="B411" i="5"/>
  <c r="B238" i="5"/>
  <c r="B282" i="5"/>
  <c r="B175" i="5"/>
  <c r="B324" i="5"/>
  <c r="B368" i="5"/>
  <c r="B195" i="5"/>
  <c r="B154" i="5"/>
  <c r="B440" i="5"/>
  <c r="G441" i="5" s="1"/>
  <c r="B397" i="5"/>
  <c r="G398" i="5" s="1"/>
  <c r="B354" i="5"/>
  <c r="G355" i="5" s="1"/>
  <c r="B311" i="5"/>
  <c r="G312" i="5" s="1"/>
  <c r="B267" i="5"/>
  <c r="G268" i="5" s="1"/>
  <c r="B225" i="5"/>
  <c r="G226" i="5" s="1"/>
  <c r="B183" i="5"/>
  <c r="G184" i="5" s="1"/>
  <c r="B419" i="5"/>
  <c r="B246" i="5"/>
  <c r="B290" i="5"/>
  <c r="B332" i="5"/>
  <c r="B376" i="5"/>
  <c r="B203" i="5"/>
  <c r="B162" i="5"/>
  <c r="B47" i="3"/>
  <c r="B29" i="4" s="1"/>
  <c r="B408" i="5"/>
  <c r="B365" i="5"/>
  <c r="B321" i="5"/>
  <c r="B279" i="5"/>
  <c r="B235" i="5"/>
  <c r="B192" i="5"/>
  <c r="B386" i="5"/>
  <c r="B214" i="5"/>
  <c r="B429" i="5"/>
  <c r="B256" i="5"/>
  <c r="B300" i="5"/>
  <c r="B343" i="5"/>
  <c r="B172" i="5"/>
  <c r="B151" i="5"/>
  <c r="B412" i="5"/>
  <c r="B369" i="5"/>
  <c r="B325" i="5"/>
  <c r="B283" i="5"/>
  <c r="B239" i="5"/>
  <c r="B196" i="5"/>
  <c r="B390" i="5"/>
  <c r="B176" i="5"/>
  <c r="B304" i="5"/>
  <c r="B347" i="5"/>
  <c r="B218" i="5"/>
  <c r="B433" i="5"/>
  <c r="B260" i="5"/>
  <c r="B155" i="5"/>
  <c r="B416" i="5"/>
  <c r="B373" i="5"/>
  <c r="B329" i="5"/>
  <c r="B287" i="5"/>
  <c r="B243" i="5"/>
  <c r="B200" i="5"/>
  <c r="B180" i="5"/>
  <c r="B394" i="5"/>
  <c r="B222" i="5"/>
  <c r="B437" i="5"/>
  <c r="B264" i="5"/>
  <c r="B308" i="5"/>
  <c r="B351" i="5"/>
  <c r="B159" i="5"/>
  <c r="B410" i="5"/>
  <c r="B367" i="5"/>
  <c r="B323" i="5"/>
  <c r="B281" i="5"/>
  <c r="B237" i="5"/>
  <c r="B194" i="5"/>
  <c r="B431" i="5"/>
  <c r="B345" i="5"/>
  <c r="B388" i="5"/>
  <c r="B216" i="5"/>
  <c r="B258" i="5"/>
  <c r="B302" i="5"/>
  <c r="B174" i="5"/>
  <c r="B153" i="5"/>
  <c r="B418" i="5"/>
  <c r="B375" i="5"/>
  <c r="B331" i="5"/>
  <c r="B289" i="5"/>
  <c r="B245" i="5"/>
  <c r="B202" i="5"/>
  <c r="B439" i="5"/>
  <c r="B353" i="5"/>
  <c r="B182" i="5"/>
  <c r="B396" i="5"/>
  <c r="B224" i="5"/>
  <c r="B266" i="5"/>
  <c r="B310" i="5"/>
  <c r="B161" i="5"/>
  <c r="B436" i="5"/>
  <c r="B393" i="5"/>
  <c r="B350" i="5"/>
  <c r="B307" i="5"/>
  <c r="B263" i="5"/>
  <c r="B221" i="5"/>
  <c r="B415" i="5"/>
  <c r="B286" i="5"/>
  <c r="B328" i="5"/>
  <c r="B372" i="5"/>
  <c r="B199" i="5"/>
  <c r="B179" i="5"/>
  <c r="B242" i="5"/>
  <c r="B158" i="5"/>
  <c r="B430" i="5"/>
  <c r="B387" i="5"/>
  <c r="B344" i="5"/>
  <c r="B301" i="5"/>
  <c r="B257" i="5"/>
  <c r="B215" i="5"/>
  <c r="B280" i="5"/>
  <c r="B322" i="5"/>
  <c r="B173" i="5"/>
  <c r="B366" i="5"/>
  <c r="B193" i="5"/>
  <c r="B409" i="5"/>
  <c r="B236" i="5"/>
  <c r="B152" i="5"/>
  <c r="B434" i="5"/>
  <c r="B391" i="5"/>
  <c r="B348" i="5"/>
  <c r="B305" i="5"/>
  <c r="B261" i="5"/>
  <c r="B219" i="5"/>
  <c r="B370" i="5"/>
  <c r="B197" i="5"/>
  <c r="B413" i="5"/>
  <c r="B240" i="5"/>
  <c r="B177" i="5"/>
  <c r="B284" i="5"/>
  <c r="B326" i="5"/>
  <c r="B156" i="5"/>
  <c r="B438" i="5"/>
  <c r="B395" i="5"/>
  <c r="B352" i="5"/>
  <c r="B309" i="5"/>
  <c r="B265" i="5"/>
  <c r="B223" i="5"/>
  <c r="B181" i="5"/>
  <c r="B374" i="5"/>
  <c r="B244" i="5"/>
  <c r="B288" i="5"/>
  <c r="B330" i="5"/>
  <c r="B201" i="5"/>
  <c r="B417" i="5"/>
  <c r="B160" i="5"/>
  <c r="B1" i="13"/>
  <c r="B1" i="12"/>
  <c r="B1" i="11"/>
  <c r="B1" i="10"/>
  <c r="B1" i="9"/>
  <c r="B1" i="15"/>
  <c r="B1" i="8"/>
  <c r="B1" i="7"/>
  <c r="B1" i="6"/>
  <c r="B1" i="5"/>
  <c r="B1" i="4"/>
  <c r="B89" i="2"/>
  <c r="E46" i="3"/>
  <c r="C33" i="5" s="1"/>
  <c r="E44" i="3"/>
  <c r="C31" i="5" s="1"/>
  <c r="E43" i="3"/>
  <c r="C30" i="5" s="1"/>
  <c r="E42" i="3"/>
  <c r="C29" i="5" s="1"/>
  <c r="E41" i="3"/>
  <c r="C28" i="5" s="1"/>
  <c r="E40" i="3"/>
  <c r="C27" i="5" s="1"/>
  <c r="E39" i="3"/>
  <c r="C26" i="5" s="1"/>
  <c r="E38" i="3"/>
  <c r="C25" i="5" s="1"/>
  <c r="E37" i="3"/>
  <c r="C24" i="5" s="1"/>
  <c r="C22" i="5" l="1"/>
  <c r="C44" i="5" s="1"/>
  <c r="C333" i="5"/>
  <c r="C398" i="5"/>
  <c r="C268" i="5"/>
  <c r="C100" i="5"/>
  <c r="C163" i="5"/>
  <c r="C291" i="5"/>
  <c r="C78" i="5"/>
  <c r="C142" i="5"/>
  <c r="C226" i="5"/>
  <c r="C121" i="5"/>
  <c r="C247" i="5"/>
  <c r="C312" i="5"/>
  <c r="C377" i="5"/>
  <c r="C355" i="5"/>
  <c r="C441" i="5"/>
  <c r="C56" i="5"/>
  <c r="C184" i="5"/>
  <c r="C204" i="5"/>
  <c r="C420" i="5"/>
  <c r="B78" i="4"/>
  <c r="B59" i="4"/>
  <c r="B34" i="5"/>
  <c r="B26" i="8"/>
  <c r="B28" i="15"/>
  <c r="B420" i="5"/>
  <c r="B377" i="5"/>
  <c r="B333" i="5"/>
  <c r="B291" i="5"/>
  <c r="B247" i="5"/>
  <c r="B204" i="5"/>
  <c r="B398" i="5"/>
  <c r="B268" i="5"/>
  <c r="B312" i="5"/>
  <c r="B355" i="5"/>
  <c r="B184" i="5"/>
  <c r="B226" i="5"/>
  <c r="B441" i="5"/>
  <c r="B142" i="5"/>
  <c r="B100" i="5"/>
  <c r="B56" i="5"/>
  <c r="B163" i="5"/>
  <c r="B121" i="5"/>
  <c r="B78" i="5"/>
  <c r="B85" i="3"/>
  <c r="B95" i="4"/>
  <c r="C411" i="5"/>
  <c r="C368" i="5"/>
  <c r="C324" i="5"/>
  <c r="C282" i="5"/>
  <c r="C238" i="5"/>
  <c r="C432" i="5"/>
  <c r="C389" i="5"/>
  <c r="C346" i="5"/>
  <c r="C303" i="5"/>
  <c r="C259" i="5"/>
  <c r="C175" i="5"/>
  <c r="C195" i="5"/>
  <c r="C47" i="5"/>
  <c r="C133" i="5"/>
  <c r="C69" i="5"/>
  <c r="C217" i="5"/>
  <c r="C91" i="5"/>
  <c r="C154" i="5"/>
  <c r="C112" i="5"/>
  <c r="C300" i="5"/>
  <c r="C365" i="5"/>
  <c r="C321" i="5"/>
  <c r="C235" i="5"/>
  <c r="C192" i="5"/>
  <c r="C172" i="5"/>
  <c r="C214" i="5"/>
  <c r="C88" i="5"/>
  <c r="C151" i="5"/>
  <c r="C130" i="5"/>
  <c r="C66" i="5"/>
  <c r="C433" i="5"/>
  <c r="C390" i="5"/>
  <c r="C347" i="5"/>
  <c r="C304" i="5"/>
  <c r="C260" i="5"/>
  <c r="C412" i="5"/>
  <c r="C369" i="5"/>
  <c r="C325" i="5"/>
  <c r="C283" i="5"/>
  <c r="C239" i="5"/>
  <c r="C196" i="5"/>
  <c r="C92" i="5"/>
  <c r="C218" i="5"/>
  <c r="C113" i="5"/>
  <c r="C134" i="5"/>
  <c r="C176" i="5"/>
  <c r="C48" i="5"/>
  <c r="C155" i="5"/>
  <c r="C70" i="5"/>
  <c r="C437" i="5"/>
  <c r="C394" i="5"/>
  <c r="C351" i="5"/>
  <c r="C308" i="5"/>
  <c r="C264" i="5"/>
  <c r="C416" i="5"/>
  <c r="C373" i="5"/>
  <c r="C329" i="5"/>
  <c r="C287" i="5"/>
  <c r="C243" i="5"/>
  <c r="C180" i="5"/>
  <c r="C159" i="5"/>
  <c r="C52" i="5"/>
  <c r="C74" i="5"/>
  <c r="C138" i="5"/>
  <c r="C96" i="5"/>
  <c r="C222" i="5"/>
  <c r="C117" i="5"/>
  <c r="C200" i="5"/>
  <c r="C415" i="5"/>
  <c r="C372" i="5"/>
  <c r="C328" i="5"/>
  <c r="C286" i="5"/>
  <c r="C242" i="5"/>
  <c r="C436" i="5"/>
  <c r="C393" i="5"/>
  <c r="C350" i="5"/>
  <c r="C307" i="5"/>
  <c r="C263" i="5"/>
  <c r="C221" i="5"/>
  <c r="C158" i="5"/>
  <c r="C116" i="5"/>
  <c r="C137" i="5"/>
  <c r="C51" i="5"/>
  <c r="C199" i="5"/>
  <c r="C95" i="5"/>
  <c r="C179" i="5"/>
  <c r="C73" i="5"/>
  <c r="C114" i="5"/>
  <c r="C434" i="5"/>
  <c r="C391" i="5"/>
  <c r="C348" i="5"/>
  <c r="C305" i="5"/>
  <c r="C261" i="5"/>
  <c r="C413" i="5"/>
  <c r="C370" i="5"/>
  <c r="C326" i="5"/>
  <c r="C284" i="5"/>
  <c r="C240" i="5"/>
  <c r="C156" i="5"/>
  <c r="C219" i="5"/>
  <c r="C177" i="5"/>
  <c r="C49" i="5"/>
  <c r="C197" i="5"/>
  <c r="C135" i="5"/>
  <c r="C71" i="5"/>
  <c r="C93" i="5"/>
  <c r="C438" i="5"/>
  <c r="C395" i="5"/>
  <c r="C352" i="5"/>
  <c r="C309" i="5"/>
  <c r="C265" i="5"/>
  <c r="C417" i="5"/>
  <c r="C374" i="5"/>
  <c r="C330" i="5"/>
  <c r="C288" i="5"/>
  <c r="C244" i="5"/>
  <c r="C118" i="5"/>
  <c r="C160" i="5"/>
  <c r="C97" i="5"/>
  <c r="C53" i="5"/>
  <c r="C75" i="5"/>
  <c r="C201" i="5"/>
  <c r="C223" i="5"/>
  <c r="C181" i="5"/>
  <c r="C139" i="5"/>
  <c r="C410" i="5"/>
  <c r="C367" i="5"/>
  <c r="C323" i="5"/>
  <c r="C281" i="5"/>
  <c r="C237" i="5"/>
  <c r="C431" i="5"/>
  <c r="C388" i="5"/>
  <c r="C345" i="5"/>
  <c r="C302" i="5"/>
  <c r="C258" i="5"/>
  <c r="C216" i="5"/>
  <c r="C90" i="5"/>
  <c r="C153" i="5"/>
  <c r="C111" i="5"/>
  <c r="C46" i="5"/>
  <c r="C132" i="5"/>
  <c r="C194" i="5"/>
  <c r="C68" i="5"/>
  <c r="C174" i="5"/>
  <c r="C414" i="5"/>
  <c r="C371" i="5"/>
  <c r="C327" i="5"/>
  <c r="C285" i="5"/>
  <c r="C241" i="5"/>
  <c r="C435" i="5"/>
  <c r="C392" i="5"/>
  <c r="C349" i="5"/>
  <c r="C306" i="5"/>
  <c r="C262" i="5"/>
  <c r="C72" i="5"/>
  <c r="C157" i="5"/>
  <c r="C178" i="5"/>
  <c r="C220" i="5"/>
  <c r="C94" i="5"/>
  <c r="C136" i="5"/>
  <c r="C198" i="5"/>
  <c r="C115" i="5"/>
  <c r="C50" i="5"/>
  <c r="C419" i="5"/>
  <c r="C376" i="5"/>
  <c r="C332" i="5"/>
  <c r="C290" i="5"/>
  <c r="C246" i="5"/>
  <c r="C440" i="5"/>
  <c r="C397" i="5"/>
  <c r="C354" i="5"/>
  <c r="C311" i="5"/>
  <c r="C267" i="5"/>
  <c r="C183" i="5"/>
  <c r="C99" i="5"/>
  <c r="C77" i="5"/>
  <c r="C162" i="5"/>
  <c r="C120" i="5"/>
  <c r="C225" i="5"/>
  <c r="C141" i="5"/>
  <c r="C203" i="5"/>
  <c r="C55" i="5"/>
  <c r="E45" i="3"/>
  <c r="C32" i="5" s="1"/>
  <c r="E36" i="3"/>
  <c r="C23" i="5" s="1"/>
  <c r="C109" i="5" l="1"/>
  <c r="C408" i="5"/>
  <c r="C256" i="5"/>
  <c r="C343" i="5"/>
  <c r="C386" i="5"/>
  <c r="C279" i="5"/>
  <c r="C429" i="5"/>
  <c r="C430" i="5"/>
  <c r="C387" i="5"/>
  <c r="C344" i="5"/>
  <c r="C301" i="5"/>
  <c r="C257" i="5"/>
  <c r="C409" i="5"/>
  <c r="C366" i="5"/>
  <c r="C322" i="5"/>
  <c r="C280" i="5"/>
  <c r="C236" i="5"/>
  <c r="C131" i="5"/>
  <c r="C67" i="5"/>
  <c r="C89" i="5"/>
  <c r="C193" i="5"/>
  <c r="C110" i="5"/>
  <c r="C45" i="5"/>
  <c r="C215" i="5"/>
  <c r="C152" i="5"/>
  <c r="C173" i="5"/>
  <c r="C418" i="5"/>
  <c r="C375" i="5"/>
  <c r="C331" i="5"/>
  <c r="C289" i="5"/>
  <c r="C245" i="5"/>
  <c r="C439" i="5"/>
  <c r="C396" i="5"/>
  <c r="C353" i="5"/>
  <c r="C310" i="5"/>
  <c r="C266" i="5"/>
  <c r="C202" i="5"/>
  <c r="C140" i="5"/>
  <c r="C224" i="5"/>
  <c r="C98" i="5"/>
  <c r="C182" i="5"/>
  <c r="C76" i="5"/>
  <c r="C161" i="5"/>
  <c r="C119" i="5"/>
  <c r="C54" i="5"/>
  <c r="E48" i="3"/>
  <c r="C11" i="2"/>
  <c r="G37" i="3" l="1"/>
  <c r="G38" i="3"/>
  <c r="G39" i="3"/>
  <c r="G40" i="3"/>
  <c r="G41" i="3"/>
  <c r="G42" i="3"/>
  <c r="G43" i="3"/>
  <c r="G44" i="3"/>
  <c r="G45" i="3"/>
  <c r="G46" i="3"/>
  <c r="G36" i="3"/>
  <c r="G35" i="3"/>
  <c r="G48" i="3" l="1"/>
  <c r="C15" i="9" s="1"/>
  <c r="C18" i="4"/>
  <c r="C19" i="4"/>
  <c r="C20" i="4"/>
  <c r="C21" i="4"/>
  <c r="C22" i="4"/>
  <c r="C23" i="4"/>
  <c r="C24" i="4"/>
  <c r="C25" i="4"/>
  <c r="C26" i="4"/>
  <c r="C27" i="4"/>
  <c r="C28" i="4"/>
  <c r="C17" i="4"/>
  <c r="D86" i="3" l="1"/>
  <c r="E86" i="3"/>
  <c r="C86" i="3"/>
  <c r="B17" i="15"/>
  <c r="B18" i="15"/>
  <c r="B19" i="15"/>
  <c r="B20" i="15"/>
  <c r="B21" i="15"/>
  <c r="B22" i="15"/>
  <c r="B23" i="15"/>
  <c r="B24" i="15"/>
  <c r="B25" i="15"/>
  <c r="B26" i="15"/>
  <c r="B27" i="15"/>
  <c r="B16" i="15"/>
  <c r="B15" i="8"/>
  <c r="B16" i="8"/>
  <c r="B17" i="8"/>
  <c r="B18" i="8"/>
  <c r="B19" i="8"/>
  <c r="B20" i="8"/>
  <c r="B21" i="8"/>
  <c r="B22" i="8"/>
  <c r="B23" i="8"/>
  <c r="B24" i="8"/>
  <c r="B25" i="8"/>
  <c r="B14" i="8"/>
  <c r="B141" i="5"/>
  <c r="G142" i="5" s="1"/>
  <c r="B140" i="5"/>
  <c r="B139" i="5"/>
  <c r="B138" i="5"/>
  <c r="B137" i="5"/>
  <c r="B136" i="5"/>
  <c r="B135" i="5"/>
  <c r="B134" i="5"/>
  <c r="B133" i="5"/>
  <c r="B132" i="5"/>
  <c r="B131" i="5"/>
  <c r="B130" i="5"/>
  <c r="B120" i="5"/>
  <c r="B119" i="5"/>
  <c r="B118" i="5"/>
  <c r="B117" i="5"/>
  <c r="B116" i="5"/>
  <c r="B115" i="5"/>
  <c r="B114" i="5"/>
  <c r="B113" i="5"/>
  <c r="B112" i="5"/>
  <c r="B111" i="5"/>
  <c r="B110" i="5"/>
  <c r="B109" i="5"/>
  <c r="B99" i="5"/>
  <c r="G100" i="5" s="1"/>
  <c r="B98" i="5"/>
  <c r="B97" i="5"/>
  <c r="B96" i="5"/>
  <c r="B95" i="5"/>
  <c r="B94" i="5"/>
  <c r="B93" i="5"/>
  <c r="B92" i="5"/>
  <c r="B91" i="5"/>
  <c r="B90" i="5"/>
  <c r="B89" i="5"/>
  <c r="B88" i="5"/>
  <c r="B77" i="5"/>
  <c r="B76" i="5"/>
  <c r="B75" i="5"/>
  <c r="B74" i="5"/>
  <c r="B73" i="5"/>
  <c r="B72" i="5"/>
  <c r="B71" i="5"/>
  <c r="B70" i="5"/>
  <c r="B69" i="5"/>
  <c r="B68" i="5"/>
  <c r="B67" i="5"/>
  <c r="B66" i="5"/>
  <c r="B55" i="5"/>
  <c r="G56" i="5" s="1"/>
  <c r="B54" i="5"/>
  <c r="B53" i="5"/>
  <c r="B52" i="5"/>
  <c r="B51" i="5"/>
  <c r="B50" i="5"/>
  <c r="B49" i="5"/>
  <c r="B48" i="5"/>
  <c r="B47" i="5"/>
  <c r="B46" i="5"/>
  <c r="B45" i="5"/>
  <c r="B44" i="5"/>
  <c r="B33" i="5"/>
  <c r="B32" i="5"/>
  <c r="B31" i="5"/>
  <c r="B30" i="5"/>
  <c r="B29" i="5"/>
  <c r="B28" i="5"/>
  <c r="B27" i="5"/>
  <c r="B26" i="5"/>
  <c r="B25" i="5"/>
  <c r="B24" i="5"/>
  <c r="B23" i="5"/>
  <c r="B22" i="5"/>
  <c r="B94" i="4"/>
  <c r="B84" i="4"/>
  <c r="B85" i="4"/>
  <c r="B86" i="4"/>
  <c r="B87" i="4"/>
  <c r="B88" i="4"/>
  <c r="B89" i="4"/>
  <c r="B90" i="4"/>
  <c r="B91" i="4"/>
  <c r="B92" i="4"/>
  <c r="B93" i="4"/>
  <c r="B83" i="4"/>
  <c r="B67" i="4"/>
  <c r="B68" i="4"/>
  <c r="B69" i="4"/>
  <c r="B70" i="4"/>
  <c r="B71" i="4"/>
  <c r="B72" i="4"/>
  <c r="B73" i="4"/>
  <c r="B74" i="4"/>
  <c r="B75" i="4"/>
  <c r="B76" i="4"/>
  <c r="B77" i="4"/>
  <c r="B66" i="4"/>
  <c r="B48" i="4"/>
  <c r="B49" i="4"/>
  <c r="B50" i="4"/>
  <c r="B51" i="4"/>
  <c r="B52" i="4"/>
  <c r="B53" i="4"/>
  <c r="B54" i="4"/>
  <c r="B55" i="4"/>
  <c r="B56" i="4"/>
  <c r="B57" i="4"/>
  <c r="B58" i="4"/>
  <c r="B47" i="4"/>
  <c r="B18" i="4"/>
  <c r="B19" i="4"/>
  <c r="B20" i="4"/>
  <c r="B21" i="4"/>
  <c r="B22" i="4"/>
  <c r="B23" i="4"/>
  <c r="B24" i="4"/>
  <c r="B25" i="4"/>
  <c r="B26" i="4"/>
  <c r="B27" i="4"/>
  <c r="B28" i="4"/>
  <c r="B17" i="4"/>
  <c r="B74" i="3"/>
  <c r="B75" i="3"/>
  <c r="B76" i="3"/>
  <c r="B77" i="3"/>
  <c r="B78" i="3"/>
  <c r="B79" i="3"/>
  <c r="B80" i="3"/>
  <c r="B81" i="3"/>
  <c r="B82" i="3"/>
  <c r="B83" i="3"/>
  <c r="B84" i="3"/>
  <c r="B73" i="3"/>
  <c r="D114" i="4" l="1"/>
  <c r="E203" i="4"/>
  <c r="E221" i="3"/>
  <c r="I37" i="3" l="1"/>
  <c r="I38" i="3"/>
  <c r="I39" i="3"/>
  <c r="I40" i="3"/>
  <c r="I41" i="3"/>
  <c r="I42" i="3"/>
  <c r="I43" i="3"/>
  <c r="I44" i="3"/>
  <c r="I45" i="3"/>
  <c r="I46" i="3"/>
  <c r="I36" i="3"/>
  <c r="E192" i="3" l="1"/>
  <c r="E193" i="3"/>
  <c r="E194" i="3"/>
  <c r="E195" i="3"/>
  <c r="E77" i="12" l="1"/>
  <c r="D77" i="12"/>
  <c r="C82" i="12" s="1"/>
  <c r="C77" i="12"/>
  <c r="B77" i="12"/>
  <c r="E72" i="12"/>
  <c r="D72" i="12"/>
  <c r="C72" i="12"/>
  <c r="B72" i="12"/>
  <c r="E71" i="12"/>
  <c r="D71" i="12"/>
  <c r="C71" i="12"/>
  <c r="B71" i="12"/>
  <c r="E70" i="12"/>
  <c r="D70" i="12"/>
  <c r="C70" i="12"/>
  <c r="B70" i="12"/>
  <c r="E69" i="12"/>
  <c r="D69" i="12"/>
  <c r="C69" i="12"/>
  <c r="B69" i="12"/>
  <c r="E68" i="12"/>
  <c r="D68" i="12"/>
  <c r="C68" i="12"/>
  <c r="B68" i="12"/>
  <c r="D67" i="12"/>
  <c r="C67" i="12"/>
  <c r="B67" i="12"/>
  <c r="D66" i="12"/>
  <c r="C66" i="12"/>
  <c r="B66" i="12"/>
  <c r="D65" i="12"/>
  <c r="C65" i="12"/>
  <c r="B65" i="12"/>
  <c r="D64" i="12"/>
  <c r="C64" i="12"/>
  <c r="B64" i="12"/>
  <c r="E59" i="12"/>
  <c r="D59" i="12"/>
  <c r="C59" i="12"/>
  <c r="B59" i="12"/>
  <c r="E58" i="12"/>
  <c r="D58" i="12"/>
  <c r="C58" i="12"/>
  <c r="B58" i="12"/>
  <c r="E57" i="12"/>
  <c r="D57" i="12"/>
  <c r="C57" i="12"/>
  <c r="B57" i="12"/>
  <c r="E56" i="12"/>
  <c r="D56" i="12"/>
  <c r="C56" i="12"/>
  <c r="B56" i="12"/>
  <c r="E55" i="12"/>
  <c r="D55" i="12"/>
  <c r="C55" i="12"/>
  <c r="B55" i="12"/>
  <c r="D54" i="12"/>
  <c r="C54" i="12"/>
  <c r="B54" i="12"/>
  <c r="D53" i="12"/>
  <c r="C53" i="12"/>
  <c r="B53" i="12"/>
  <c r="D52" i="12"/>
  <c r="C52" i="12"/>
  <c r="B52" i="12"/>
  <c r="D51" i="12"/>
  <c r="C51" i="12"/>
  <c r="B51" i="12"/>
  <c r="E42" i="12"/>
  <c r="D42" i="12"/>
  <c r="C81" i="12" s="1"/>
  <c r="C42" i="12"/>
  <c r="B42" i="12"/>
  <c r="E37" i="12"/>
  <c r="D37" i="12"/>
  <c r="C37" i="12"/>
  <c r="B37" i="12"/>
  <c r="E36" i="12"/>
  <c r="D36" i="12"/>
  <c r="C36" i="12"/>
  <c r="B36" i="12"/>
  <c r="E35" i="12"/>
  <c r="D35" i="12"/>
  <c r="C35" i="12"/>
  <c r="B35" i="12"/>
  <c r="E34" i="12"/>
  <c r="D34" i="12"/>
  <c r="C34" i="12"/>
  <c r="B34" i="12"/>
  <c r="E33" i="12"/>
  <c r="D33" i="12"/>
  <c r="C33" i="12"/>
  <c r="B33" i="12"/>
  <c r="D32" i="12"/>
  <c r="C32" i="12"/>
  <c r="B32" i="12"/>
  <c r="D31" i="12"/>
  <c r="C31" i="12"/>
  <c r="B31" i="12"/>
  <c r="D30" i="12"/>
  <c r="C30" i="12"/>
  <c r="B30" i="12"/>
  <c r="D29" i="12"/>
  <c r="C29" i="12"/>
  <c r="B29" i="12"/>
  <c r="E24" i="12"/>
  <c r="D24" i="12"/>
  <c r="C24" i="12"/>
  <c r="B24" i="12"/>
  <c r="E23" i="12"/>
  <c r="D23" i="12"/>
  <c r="C23" i="12"/>
  <c r="B23" i="12"/>
  <c r="E22" i="12"/>
  <c r="D22" i="12"/>
  <c r="C22" i="12"/>
  <c r="B22" i="12"/>
  <c r="E21" i="12"/>
  <c r="D21" i="12"/>
  <c r="C21" i="12"/>
  <c r="B21" i="12"/>
  <c r="E20" i="12"/>
  <c r="D20" i="12"/>
  <c r="C20" i="12"/>
  <c r="B20" i="12"/>
  <c r="D19" i="12"/>
  <c r="C19" i="12"/>
  <c r="B19" i="12"/>
  <c r="D18" i="12"/>
  <c r="C18" i="12"/>
  <c r="B18" i="12"/>
  <c r="D17" i="12"/>
  <c r="C17" i="12"/>
  <c r="B17" i="12"/>
  <c r="D16" i="12"/>
  <c r="C16" i="12"/>
  <c r="B16" i="12"/>
  <c r="D210" i="10"/>
  <c r="B210" i="10"/>
  <c r="D209" i="10"/>
  <c r="B209" i="10"/>
  <c r="D208" i="10"/>
  <c r="B208" i="10"/>
  <c r="D207" i="10"/>
  <c r="B207" i="10"/>
  <c r="D206" i="10"/>
  <c r="B206" i="10"/>
  <c r="D205" i="10"/>
  <c r="B205" i="10"/>
  <c r="D204" i="10"/>
  <c r="B204" i="10"/>
  <c r="D203" i="10"/>
  <c r="B203" i="10"/>
  <c r="D202" i="10"/>
  <c r="B202" i="10"/>
  <c r="D201" i="10"/>
  <c r="B201" i="10"/>
  <c r="D200" i="10"/>
  <c r="B200" i="10"/>
  <c r="D199" i="10"/>
  <c r="B199" i="10"/>
  <c r="B194" i="10"/>
  <c r="D190" i="10"/>
  <c r="B190" i="10"/>
  <c r="D189" i="10"/>
  <c r="B189" i="10"/>
  <c r="D188" i="10"/>
  <c r="B188" i="10"/>
  <c r="D187" i="10"/>
  <c r="B187" i="10"/>
  <c r="D186" i="10"/>
  <c r="B186" i="10"/>
  <c r="D185" i="10"/>
  <c r="B185" i="10"/>
  <c r="D184" i="10"/>
  <c r="B184" i="10"/>
  <c r="D183" i="10"/>
  <c r="B183" i="10"/>
  <c r="D182" i="10"/>
  <c r="B182" i="10"/>
  <c r="D181" i="10"/>
  <c r="B181" i="10"/>
  <c r="D180" i="10"/>
  <c r="B180" i="10"/>
  <c r="D179" i="10"/>
  <c r="B179" i="10"/>
  <c r="B174" i="10"/>
  <c r="D170" i="10"/>
  <c r="B170" i="10"/>
  <c r="D169" i="10"/>
  <c r="B169" i="10"/>
  <c r="D168" i="10"/>
  <c r="B168" i="10"/>
  <c r="D167" i="10"/>
  <c r="B167" i="10"/>
  <c r="D166" i="10"/>
  <c r="B166" i="10"/>
  <c r="D165" i="10"/>
  <c r="B165" i="10"/>
  <c r="D164" i="10"/>
  <c r="B164" i="10"/>
  <c r="D163" i="10"/>
  <c r="B163" i="10"/>
  <c r="D162" i="10"/>
  <c r="B162" i="10"/>
  <c r="D161" i="10"/>
  <c r="B161" i="10"/>
  <c r="D160" i="10"/>
  <c r="B160" i="10"/>
  <c r="D159" i="10"/>
  <c r="B159" i="10"/>
  <c r="B154" i="10"/>
  <c r="D150" i="10"/>
  <c r="B150" i="10"/>
  <c r="D149" i="10"/>
  <c r="B149" i="10"/>
  <c r="D148" i="10"/>
  <c r="B148" i="10"/>
  <c r="D147" i="10"/>
  <c r="B147" i="10"/>
  <c r="D146" i="10"/>
  <c r="B146" i="10"/>
  <c r="D145" i="10"/>
  <c r="B145" i="10"/>
  <c r="D144" i="10"/>
  <c r="B144" i="10"/>
  <c r="D143" i="10"/>
  <c r="B143" i="10"/>
  <c r="D142" i="10"/>
  <c r="B142" i="10"/>
  <c r="D141" i="10"/>
  <c r="B141" i="10"/>
  <c r="D140" i="10"/>
  <c r="B140" i="10"/>
  <c r="D139" i="10"/>
  <c r="B139" i="10"/>
  <c r="B134" i="10"/>
  <c r="D130" i="10"/>
  <c r="B130" i="10"/>
  <c r="D129" i="10"/>
  <c r="B129" i="10"/>
  <c r="D128" i="10"/>
  <c r="B128" i="10"/>
  <c r="D127" i="10"/>
  <c r="B127" i="10"/>
  <c r="D126" i="10"/>
  <c r="B126" i="10"/>
  <c r="D125" i="10"/>
  <c r="B125" i="10"/>
  <c r="D124" i="10"/>
  <c r="B124" i="10"/>
  <c r="D123" i="10"/>
  <c r="B123" i="10"/>
  <c r="D122" i="10"/>
  <c r="B122" i="10"/>
  <c r="D121" i="10"/>
  <c r="B121" i="10"/>
  <c r="D120" i="10"/>
  <c r="B120" i="10"/>
  <c r="D119" i="10"/>
  <c r="B119" i="10"/>
  <c r="B114" i="10"/>
  <c r="D110" i="10"/>
  <c r="B110" i="10"/>
  <c r="D109" i="10"/>
  <c r="B109" i="10"/>
  <c r="D108" i="10"/>
  <c r="B108" i="10"/>
  <c r="D107" i="10"/>
  <c r="B107" i="10"/>
  <c r="D106" i="10"/>
  <c r="B106" i="10"/>
  <c r="D105" i="10"/>
  <c r="B105" i="10"/>
  <c r="D104" i="10"/>
  <c r="B104" i="10"/>
  <c r="D103" i="10"/>
  <c r="B103" i="10"/>
  <c r="D102" i="10"/>
  <c r="B102" i="10"/>
  <c r="D101" i="10"/>
  <c r="B101" i="10"/>
  <c r="D100" i="10"/>
  <c r="B100" i="10"/>
  <c r="D99" i="10"/>
  <c r="B99" i="10"/>
  <c r="B94" i="10"/>
  <c r="D90" i="10"/>
  <c r="B90" i="10"/>
  <c r="D89" i="10"/>
  <c r="B89" i="10"/>
  <c r="D88" i="10"/>
  <c r="B88" i="10"/>
  <c r="D87" i="10"/>
  <c r="B87" i="10"/>
  <c r="D86" i="10"/>
  <c r="B86" i="10"/>
  <c r="D85" i="10"/>
  <c r="B85" i="10"/>
  <c r="D84" i="10"/>
  <c r="B84" i="10"/>
  <c r="D83" i="10"/>
  <c r="B83" i="10"/>
  <c r="D82" i="10"/>
  <c r="B82" i="10"/>
  <c r="D81" i="10"/>
  <c r="B81" i="10"/>
  <c r="D80" i="10"/>
  <c r="B80" i="10"/>
  <c r="D79" i="10"/>
  <c r="B79" i="10"/>
  <c r="B74" i="10"/>
  <c r="D70" i="10"/>
  <c r="B70" i="10"/>
  <c r="D69" i="10"/>
  <c r="B69" i="10"/>
  <c r="D68" i="10"/>
  <c r="B68" i="10"/>
  <c r="D67" i="10"/>
  <c r="B67" i="10"/>
  <c r="D66" i="10"/>
  <c r="B66" i="10"/>
  <c r="D65" i="10"/>
  <c r="B65" i="10"/>
  <c r="D64" i="10"/>
  <c r="B64" i="10"/>
  <c r="D63" i="10"/>
  <c r="B63" i="10"/>
  <c r="D62" i="10"/>
  <c r="B62" i="10"/>
  <c r="D61" i="10"/>
  <c r="B61" i="10"/>
  <c r="D60" i="10"/>
  <c r="B60" i="10"/>
  <c r="D59" i="10"/>
  <c r="B59" i="10"/>
  <c r="B54" i="10"/>
  <c r="D50" i="10"/>
  <c r="B50" i="10"/>
  <c r="D49" i="10"/>
  <c r="B49" i="10"/>
  <c r="D48" i="10"/>
  <c r="B48" i="10"/>
  <c r="D47" i="10"/>
  <c r="B47" i="10"/>
  <c r="D46" i="10"/>
  <c r="B46" i="10"/>
  <c r="D45" i="10"/>
  <c r="B45" i="10"/>
  <c r="D44" i="10"/>
  <c r="B44" i="10"/>
  <c r="D43" i="10"/>
  <c r="B43" i="10"/>
  <c r="D42" i="10"/>
  <c r="B42" i="10"/>
  <c r="D41" i="10"/>
  <c r="B41" i="10"/>
  <c r="D40" i="10"/>
  <c r="B40" i="10"/>
  <c r="D39" i="10"/>
  <c r="B39" i="10"/>
  <c r="B34" i="10"/>
  <c r="D30" i="10"/>
  <c r="B30" i="10"/>
  <c r="D29" i="10"/>
  <c r="B29" i="10"/>
  <c r="D28" i="10"/>
  <c r="B28" i="10"/>
  <c r="D27" i="10"/>
  <c r="B27" i="10"/>
  <c r="D26" i="10"/>
  <c r="B26" i="10"/>
  <c r="D25" i="10"/>
  <c r="B25" i="10"/>
  <c r="D24" i="10"/>
  <c r="B24" i="10"/>
  <c r="D23" i="10"/>
  <c r="B23" i="10"/>
  <c r="D22" i="10"/>
  <c r="B22" i="10"/>
  <c r="D21" i="10"/>
  <c r="B21" i="10"/>
  <c r="D20" i="10"/>
  <c r="B20" i="10"/>
  <c r="D19" i="10"/>
  <c r="B19" i="10"/>
  <c r="B14" i="10"/>
  <c r="E27" i="15"/>
  <c r="D27" i="15"/>
  <c r="C27" i="15"/>
  <c r="E26" i="15"/>
  <c r="D26" i="15"/>
  <c r="C26" i="15"/>
  <c r="E25" i="15"/>
  <c r="D25" i="15"/>
  <c r="C25" i="15"/>
  <c r="E24" i="15"/>
  <c r="D24" i="15"/>
  <c r="C24" i="15"/>
  <c r="E23" i="15"/>
  <c r="D23" i="15"/>
  <c r="C23" i="15"/>
  <c r="E22" i="15"/>
  <c r="D22" i="15"/>
  <c r="C22" i="15"/>
  <c r="E21" i="15"/>
  <c r="D21" i="15"/>
  <c r="C21" i="15"/>
  <c r="E20" i="15"/>
  <c r="D20" i="15"/>
  <c r="C20" i="15"/>
  <c r="E19" i="15"/>
  <c r="D19" i="15"/>
  <c r="C19" i="15"/>
  <c r="E18" i="15"/>
  <c r="D18" i="15"/>
  <c r="C18" i="15"/>
  <c r="E17" i="15"/>
  <c r="D17" i="15"/>
  <c r="C17" i="15"/>
  <c r="E16" i="15"/>
  <c r="D16" i="15"/>
  <c r="C16" i="15"/>
  <c r="I25" i="8"/>
  <c r="F25" i="8"/>
  <c r="E25" i="8"/>
  <c r="D25" i="8"/>
  <c r="I24" i="8"/>
  <c r="F24" i="8"/>
  <c r="E24" i="8"/>
  <c r="D24" i="8"/>
  <c r="I23" i="8"/>
  <c r="F23" i="8"/>
  <c r="E23" i="8"/>
  <c r="D23" i="8"/>
  <c r="I22" i="8"/>
  <c r="F22" i="8"/>
  <c r="E22" i="8"/>
  <c r="D22" i="8"/>
  <c r="I21" i="8"/>
  <c r="F21" i="8"/>
  <c r="E21" i="8"/>
  <c r="D21" i="8"/>
  <c r="I20" i="8"/>
  <c r="F20" i="8"/>
  <c r="E20" i="8"/>
  <c r="D20" i="8"/>
  <c r="I19" i="8"/>
  <c r="F19" i="8"/>
  <c r="E19" i="8"/>
  <c r="D19" i="8"/>
  <c r="I18" i="8"/>
  <c r="F18" i="8"/>
  <c r="E18" i="8"/>
  <c r="D18" i="8"/>
  <c r="I17" i="8"/>
  <c r="F17" i="8"/>
  <c r="E17" i="8"/>
  <c r="D17" i="8"/>
  <c r="I16" i="8"/>
  <c r="F16" i="8"/>
  <c r="E16" i="8"/>
  <c r="D16" i="8"/>
  <c r="I15" i="8"/>
  <c r="F15" i="8"/>
  <c r="E15" i="8"/>
  <c r="D15" i="8"/>
  <c r="I14" i="8"/>
  <c r="F14" i="8"/>
  <c r="E14" i="8"/>
  <c r="D14" i="8"/>
  <c r="B42" i="7"/>
  <c r="B41" i="7"/>
  <c r="B40" i="7"/>
  <c r="B39" i="7"/>
  <c r="B38" i="7"/>
  <c r="B37" i="7"/>
  <c r="B36" i="7"/>
  <c r="B35" i="7"/>
  <c r="B34" i="7"/>
  <c r="B33" i="7"/>
  <c r="B32" i="7"/>
  <c r="B31" i="7"/>
  <c r="B30" i="7"/>
  <c r="D165" i="6"/>
  <c r="D164" i="6"/>
  <c r="D163" i="6"/>
  <c r="D162" i="6"/>
  <c r="D161" i="6"/>
  <c r="D160" i="6"/>
  <c r="D159" i="6"/>
  <c r="D158" i="6"/>
  <c r="D157" i="6"/>
  <c r="D156" i="6"/>
  <c r="B154" i="6"/>
  <c r="D151" i="6"/>
  <c r="D150" i="6"/>
  <c r="D149" i="6"/>
  <c r="D148" i="6"/>
  <c r="D147" i="6"/>
  <c r="D146" i="6"/>
  <c r="D145" i="6"/>
  <c r="D144" i="6"/>
  <c r="D143" i="6"/>
  <c r="D142" i="6"/>
  <c r="B140" i="6"/>
  <c r="D137" i="6"/>
  <c r="D136" i="6"/>
  <c r="D135" i="6"/>
  <c r="D134" i="6"/>
  <c r="D133" i="6"/>
  <c r="D132" i="6"/>
  <c r="D131" i="6"/>
  <c r="D130" i="6"/>
  <c r="D129" i="6"/>
  <c r="D128" i="6"/>
  <c r="B126" i="6"/>
  <c r="D123" i="6"/>
  <c r="D122" i="6"/>
  <c r="D121" i="6"/>
  <c r="D120" i="6"/>
  <c r="D119" i="6"/>
  <c r="D118" i="6"/>
  <c r="D117" i="6"/>
  <c r="D116" i="6"/>
  <c r="D115" i="6"/>
  <c r="D114" i="6"/>
  <c r="B112" i="6"/>
  <c r="D109" i="6"/>
  <c r="D108" i="6"/>
  <c r="D107" i="6"/>
  <c r="D106" i="6"/>
  <c r="D105" i="6"/>
  <c r="D104" i="6"/>
  <c r="D103" i="6"/>
  <c r="D102" i="6"/>
  <c r="D101" i="6"/>
  <c r="D100" i="6"/>
  <c r="B98" i="6"/>
  <c r="D95" i="6"/>
  <c r="D94" i="6"/>
  <c r="D93" i="6"/>
  <c r="D92" i="6"/>
  <c r="D91" i="6"/>
  <c r="D90" i="6"/>
  <c r="D89" i="6"/>
  <c r="D88" i="6"/>
  <c r="D87" i="6"/>
  <c r="D86" i="6"/>
  <c r="B84" i="6"/>
  <c r="D81" i="6"/>
  <c r="D80" i="6"/>
  <c r="D79" i="6"/>
  <c r="D78" i="6"/>
  <c r="D77" i="6"/>
  <c r="D76" i="6"/>
  <c r="D75" i="6"/>
  <c r="D74" i="6"/>
  <c r="D73" i="6"/>
  <c r="D72" i="6"/>
  <c r="B70" i="6"/>
  <c r="D67" i="6"/>
  <c r="D66" i="6"/>
  <c r="D65" i="6"/>
  <c r="D64" i="6"/>
  <c r="D63" i="6"/>
  <c r="D62" i="6"/>
  <c r="D61" i="6"/>
  <c r="D60" i="6"/>
  <c r="D59" i="6"/>
  <c r="D58" i="6"/>
  <c r="B56" i="6"/>
  <c r="D53" i="6"/>
  <c r="D52" i="6"/>
  <c r="D51" i="6"/>
  <c r="D50" i="6"/>
  <c r="D49" i="6"/>
  <c r="D48" i="6"/>
  <c r="D47" i="6"/>
  <c r="D46" i="6"/>
  <c r="D45" i="6"/>
  <c r="D44" i="6"/>
  <c r="B42" i="6"/>
  <c r="D39" i="6"/>
  <c r="D38" i="6"/>
  <c r="D37" i="6"/>
  <c r="D36" i="6"/>
  <c r="D35" i="6"/>
  <c r="D34" i="6"/>
  <c r="D33" i="6"/>
  <c r="D32" i="6"/>
  <c r="D31" i="6"/>
  <c r="D30" i="6"/>
  <c r="B28" i="6"/>
  <c r="D25" i="6"/>
  <c r="D24" i="6"/>
  <c r="D23" i="6"/>
  <c r="D22" i="6"/>
  <c r="D21" i="6"/>
  <c r="D20" i="6"/>
  <c r="D19" i="6"/>
  <c r="D18" i="6"/>
  <c r="D17" i="6"/>
  <c r="D16" i="6"/>
  <c r="B14" i="6"/>
  <c r="C425" i="5"/>
  <c r="C404" i="5"/>
  <c r="B404" i="5"/>
  <c r="B425" i="5" s="1"/>
  <c r="C382" i="5"/>
  <c r="C361" i="5"/>
  <c r="B361" i="5"/>
  <c r="B382" i="5" s="1"/>
  <c r="C339" i="5"/>
  <c r="C317" i="5"/>
  <c r="B317" i="5"/>
  <c r="B339" i="5" s="1"/>
  <c r="C296" i="5"/>
  <c r="C275" i="5"/>
  <c r="B275" i="5"/>
  <c r="B296" i="5" s="1"/>
  <c r="C252" i="5"/>
  <c r="C231" i="5"/>
  <c r="B231" i="5"/>
  <c r="B252" i="5" s="1"/>
  <c r="C210" i="5"/>
  <c r="C188" i="5"/>
  <c r="B188" i="5"/>
  <c r="B210" i="5" s="1"/>
  <c r="C168" i="5"/>
  <c r="C147" i="5"/>
  <c r="B147" i="5"/>
  <c r="B168" i="5" s="1"/>
  <c r="C126" i="5"/>
  <c r="C105" i="5"/>
  <c r="B105" i="5"/>
  <c r="B126" i="5" s="1"/>
  <c r="C84" i="5"/>
  <c r="C62" i="5"/>
  <c r="B62" i="5"/>
  <c r="B84" i="5" s="1"/>
  <c r="C40" i="5"/>
  <c r="C18" i="5"/>
  <c r="B18" i="5"/>
  <c r="B40" i="5" s="1"/>
  <c r="C215" i="4"/>
  <c r="C85" i="12" s="1"/>
  <c r="E192" i="4"/>
  <c r="E67" i="12" s="1"/>
  <c r="E191" i="4"/>
  <c r="E66" i="12" s="1"/>
  <c r="E190" i="4"/>
  <c r="E65" i="12" s="1"/>
  <c r="E189" i="4"/>
  <c r="E64" i="12" s="1"/>
  <c r="E178" i="4"/>
  <c r="E54" i="12" s="1"/>
  <c r="E177" i="4"/>
  <c r="E53" i="12" s="1"/>
  <c r="E176" i="4"/>
  <c r="E52" i="12" s="1"/>
  <c r="E175" i="4"/>
  <c r="E51" i="12" s="1"/>
  <c r="B153" i="4"/>
  <c r="B152" i="4"/>
  <c r="B151" i="4"/>
  <c r="B150" i="4"/>
  <c r="B149" i="4"/>
  <c r="B148" i="4"/>
  <c r="B147" i="4"/>
  <c r="B146" i="4"/>
  <c r="B145" i="4"/>
  <c r="B144" i="4"/>
  <c r="D143" i="4"/>
  <c r="C143" i="4"/>
  <c r="B141" i="4"/>
  <c r="B140" i="4"/>
  <c r="D139" i="4"/>
  <c r="C139" i="4"/>
  <c r="C135" i="4"/>
  <c r="C134" i="4"/>
  <c r="C133" i="4"/>
  <c r="C132" i="4"/>
  <c r="C131" i="4"/>
  <c r="C130" i="4"/>
  <c r="C129" i="4"/>
  <c r="C128" i="4"/>
  <c r="C127" i="4"/>
  <c r="C126" i="4"/>
  <c r="C124" i="4"/>
  <c r="C123" i="4"/>
  <c r="D15" i="9"/>
  <c r="H25" i="8"/>
  <c r="H24" i="8"/>
  <c r="H23" i="8"/>
  <c r="H22" i="8"/>
  <c r="H21" i="8"/>
  <c r="H20" i="8"/>
  <c r="H19" i="8"/>
  <c r="H18" i="8"/>
  <c r="H17" i="8"/>
  <c r="H16" i="8"/>
  <c r="H15" i="8"/>
  <c r="H14" i="8"/>
  <c r="E209" i="3"/>
  <c r="E32" i="12" s="1"/>
  <c r="F32" i="12" s="1"/>
  <c r="E208" i="3"/>
  <c r="E31" i="12" s="1"/>
  <c r="E207" i="3"/>
  <c r="E30" i="12" s="1"/>
  <c r="F30" i="12" s="1"/>
  <c r="E206" i="3"/>
  <c r="E29" i="12" s="1"/>
  <c r="E19" i="12"/>
  <c r="F19" i="12" s="1"/>
  <c r="E18" i="12"/>
  <c r="E17" i="12"/>
  <c r="F17" i="12" s="1"/>
  <c r="E16" i="12"/>
  <c r="B179" i="3"/>
  <c r="B178" i="3"/>
  <c r="B177" i="3"/>
  <c r="B176" i="3"/>
  <c r="B175" i="3"/>
  <c r="B174" i="3"/>
  <c r="B173" i="3"/>
  <c r="B172" i="3"/>
  <c r="B171" i="3"/>
  <c r="B170" i="3"/>
  <c r="B169" i="3"/>
  <c r="D168" i="3"/>
  <c r="C168" i="3"/>
  <c r="B166" i="3"/>
  <c r="B165" i="3"/>
  <c r="D164" i="3"/>
  <c r="C164" i="3"/>
  <c r="B159" i="3"/>
  <c r="B158" i="3"/>
  <c r="B157" i="3"/>
  <c r="B156" i="3"/>
  <c r="B155" i="3"/>
  <c r="B154" i="3"/>
  <c r="B153" i="3"/>
  <c r="B152" i="3"/>
  <c r="B151" i="3"/>
  <c r="B150" i="3"/>
  <c r="B149" i="3"/>
  <c r="B143" i="3"/>
  <c r="B142" i="3"/>
  <c r="B120" i="3"/>
  <c r="B109" i="4" s="1"/>
  <c r="E109" i="4" s="1"/>
  <c r="B119" i="3"/>
  <c r="B108" i="4" s="1"/>
  <c r="E108" i="4" s="1"/>
  <c r="B118" i="3"/>
  <c r="B107" i="4" s="1"/>
  <c r="E107" i="4" s="1"/>
  <c r="B117" i="3"/>
  <c r="B106" i="4" s="1"/>
  <c r="E106" i="4" s="1"/>
  <c r="B116" i="3"/>
  <c r="B105" i="4" s="1"/>
  <c r="E105" i="4" s="1"/>
  <c r="B115" i="3"/>
  <c r="B104" i="4" s="1"/>
  <c r="E104" i="4" s="1"/>
  <c r="B114" i="3"/>
  <c r="B103" i="4" s="1"/>
  <c r="E103" i="4" s="1"/>
  <c r="B113" i="3"/>
  <c r="B102" i="4" s="1"/>
  <c r="E102" i="4" s="1"/>
  <c r="B112" i="3"/>
  <c r="B101" i="4" s="1"/>
  <c r="E101" i="4" s="1"/>
  <c r="B111" i="3"/>
  <c r="B100" i="4" s="1"/>
  <c r="E100" i="4" s="1"/>
  <c r="B106" i="3"/>
  <c r="C106" i="3" s="1"/>
  <c r="D106" i="3" s="1"/>
  <c r="B105" i="3"/>
  <c r="C105" i="3" s="1"/>
  <c r="D105" i="3" s="1"/>
  <c r="B104" i="3"/>
  <c r="C104" i="3" s="1"/>
  <c r="D104" i="3" s="1"/>
  <c r="B103" i="3"/>
  <c r="C103" i="3" s="1"/>
  <c r="D103" i="3" s="1"/>
  <c r="B102" i="3"/>
  <c r="C102" i="3" s="1"/>
  <c r="D102" i="3" s="1"/>
  <c r="B101" i="3"/>
  <c r="C101" i="3" s="1"/>
  <c r="D101" i="3" s="1"/>
  <c r="B100" i="3"/>
  <c r="C100" i="3" s="1"/>
  <c r="D100" i="3" s="1"/>
  <c r="B99" i="3"/>
  <c r="C99" i="3" s="1"/>
  <c r="D99" i="3" s="1"/>
  <c r="B98" i="3"/>
  <c r="C98" i="3" s="1"/>
  <c r="D98" i="3" s="1"/>
  <c r="C63" i="5" s="1"/>
  <c r="B97" i="3"/>
  <c r="C97" i="3" s="1"/>
  <c r="D97" i="3" s="1"/>
  <c r="C19" i="5" s="1"/>
  <c r="E34" i="5" s="1"/>
  <c r="C109" i="4"/>
  <c r="C107" i="4"/>
  <c r="C105" i="4"/>
  <c r="C103" i="4"/>
  <c r="C101" i="4"/>
  <c r="L72" i="3"/>
  <c r="L164" i="3" s="1"/>
  <c r="K72" i="3"/>
  <c r="K164" i="3" s="1"/>
  <c r="J72" i="3"/>
  <c r="J164" i="3" s="1"/>
  <c r="I72" i="3"/>
  <c r="I164" i="3" s="1"/>
  <c r="H72" i="3"/>
  <c r="H164" i="3" s="1"/>
  <c r="G72" i="3"/>
  <c r="G164" i="3" s="1"/>
  <c r="F72" i="3"/>
  <c r="F164" i="3" s="1"/>
  <c r="E72" i="3"/>
  <c r="E164" i="3" s="1"/>
  <c r="D72" i="3"/>
  <c r="C72" i="3"/>
  <c r="G183" i="5"/>
  <c r="G181" i="5"/>
  <c r="G180" i="5"/>
  <c r="G179" i="5"/>
  <c r="C30" i="3"/>
  <c r="B42" i="2"/>
  <c r="B41" i="2"/>
  <c r="B40" i="2"/>
  <c r="B39" i="2"/>
  <c r="B38" i="2"/>
  <c r="B37" i="2"/>
  <c r="B36" i="2"/>
  <c r="B35" i="2"/>
  <c r="B34" i="2"/>
  <c r="B33" i="2"/>
  <c r="B32" i="2"/>
  <c r="B31" i="2"/>
  <c r="B30" i="2"/>
  <c r="C10" i="2"/>
  <c r="F18" i="12" l="1"/>
  <c r="F31" i="12"/>
  <c r="G19" i="8"/>
  <c r="J19" i="8" s="1"/>
  <c r="K19" i="8" s="1"/>
  <c r="G20" i="8"/>
  <c r="J20" i="8" s="1"/>
  <c r="K20" i="8" s="1"/>
  <c r="G21" i="8"/>
  <c r="J21" i="8" s="1"/>
  <c r="K21" i="8" s="1"/>
  <c r="G22" i="8"/>
  <c r="J22" i="8" s="1"/>
  <c r="K22" i="8" s="1"/>
  <c r="E78" i="5"/>
  <c r="E100" i="5"/>
  <c r="F100" i="5" s="1"/>
  <c r="H100" i="5" s="1"/>
  <c r="J100" i="5" s="1"/>
  <c r="G23" i="8"/>
  <c r="J23" i="8" s="1"/>
  <c r="K23" i="8" s="1"/>
  <c r="G24" i="8"/>
  <c r="J24" i="8" s="1"/>
  <c r="K24" i="8" s="1"/>
  <c r="G25" i="8"/>
  <c r="J25" i="8" s="1"/>
  <c r="K25" i="8" s="1"/>
  <c r="J15" i="8"/>
  <c r="K15" i="8" s="1"/>
  <c r="G16" i="8"/>
  <c r="J16" i="8" s="1"/>
  <c r="K16" i="8" s="1"/>
  <c r="G17" i="8"/>
  <c r="J17" i="8" s="1"/>
  <c r="K17" i="8" s="1"/>
  <c r="G18" i="8"/>
  <c r="J18" i="8" s="1"/>
  <c r="K18" i="8" s="1"/>
  <c r="F53" i="12"/>
  <c r="F66" i="12"/>
  <c r="F51" i="12"/>
  <c r="F64" i="12"/>
  <c r="F55" i="12"/>
  <c r="D111" i="10"/>
  <c r="D191" i="10"/>
  <c r="H17" i="15"/>
  <c r="I17" i="15" s="1"/>
  <c r="H21" i="15"/>
  <c r="I21" i="15" s="1"/>
  <c r="H25" i="15"/>
  <c r="I25" i="15" s="1"/>
  <c r="D51" i="10"/>
  <c r="D131" i="10"/>
  <c r="D211" i="10"/>
  <c r="F54" i="12"/>
  <c r="F67" i="12"/>
  <c r="F52" i="12"/>
  <c r="D71" i="10"/>
  <c r="D151" i="10"/>
  <c r="F65" i="12"/>
  <c r="D91" i="10"/>
  <c r="D171" i="10"/>
  <c r="D31" i="10"/>
  <c r="F20" i="12"/>
  <c r="F22" i="12"/>
  <c r="F24" i="12"/>
  <c r="F33" i="12"/>
  <c r="F35" i="12"/>
  <c r="F42" i="12"/>
  <c r="F43" i="12" s="1"/>
  <c r="F16" i="12"/>
  <c r="F29" i="12"/>
  <c r="H19" i="15"/>
  <c r="I19" i="15" s="1"/>
  <c r="H23" i="15"/>
  <c r="I23" i="15" s="1"/>
  <c r="F57" i="12"/>
  <c r="F59" i="12"/>
  <c r="F69" i="12"/>
  <c r="F71" i="12"/>
  <c r="F77" i="12"/>
  <c r="F78" i="12" s="1"/>
  <c r="H16" i="15"/>
  <c r="I16" i="15" s="1"/>
  <c r="H18" i="15"/>
  <c r="I18" i="15" s="1"/>
  <c r="H20" i="15"/>
  <c r="I20" i="15" s="1"/>
  <c r="H22" i="15"/>
  <c r="I22" i="15" s="1"/>
  <c r="H24" i="15"/>
  <c r="I24" i="15" s="1"/>
  <c r="H26" i="15"/>
  <c r="I26" i="15" s="1"/>
  <c r="H27" i="15"/>
  <c r="I27" i="15" s="1"/>
  <c r="L15" i="8"/>
  <c r="M15" i="8" s="1"/>
  <c r="L16" i="8"/>
  <c r="M16" i="8" s="1"/>
  <c r="F56" i="12"/>
  <c r="F58" i="12"/>
  <c r="F68" i="12"/>
  <c r="F70" i="12"/>
  <c r="F72" i="12"/>
  <c r="C83" i="12"/>
  <c r="C86" i="12" s="1"/>
  <c r="F37" i="12"/>
  <c r="F21" i="12"/>
  <c r="F23" i="12"/>
  <c r="F34" i="12"/>
  <c r="F36" i="12"/>
  <c r="E139" i="4"/>
  <c r="E143" i="4" s="1"/>
  <c r="E168" i="3"/>
  <c r="G139" i="4"/>
  <c r="G143" i="4" s="1"/>
  <c r="G168" i="3"/>
  <c r="I139" i="4"/>
  <c r="I143" i="4" s="1"/>
  <c r="I168" i="3"/>
  <c r="K139" i="4"/>
  <c r="K143" i="4" s="1"/>
  <c r="K168" i="3"/>
  <c r="F25" i="6"/>
  <c r="F23" i="6"/>
  <c r="F24" i="6"/>
  <c r="F22" i="6"/>
  <c r="F20" i="6"/>
  <c r="F18" i="6"/>
  <c r="F16" i="6"/>
  <c r="F21" i="6"/>
  <c r="F19" i="6"/>
  <c r="F17" i="6"/>
  <c r="F53" i="6"/>
  <c r="F51" i="6"/>
  <c r="F49" i="6"/>
  <c r="F47" i="6"/>
  <c r="F45" i="6"/>
  <c r="F52" i="6"/>
  <c r="F50" i="6"/>
  <c r="F48" i="6"/>
  <c r="F46" i="6"/>
  <c r="F44" i="6"/>
  <c r="F81" i="6"/>
  <c r="F79" i="6"/>
  <c r="F77" i="6"/>
  <c r="F75" i="6"/>
  <c r="F73" i="6"/>
  <c r="F80" i="6"/>
  <c r="F78" i="6"/>
  <c r="F76" i="6"/>
  <c r="F74" i="6"/>
  <c r="F72" i="6"/>
  <c r="F109" i="6"/>
  <c r="F107" i="6"/>
  <c r="F105" i="6"/>
  <c r="F103" i="6"/>
  <c r="F101" i="6"/>
  <c r="F108" i="6"/>
  <c r="F106" i="6"/>
  <c r="F104" i="6"/>
  <c r="F102" i="6"/>
  <c r="F100" i="6"/>
  <c r="F137" i="6"/>
  <c r="F135" i="6"/>
  <c r="F133" i="6"/>
  <c r="F131" i="6"/>
  <c r="F129" i="6"/>
  <c r="F136" i="6"/>
  <c r="F134" i="6"/>
  <c r="F132" i="6"/>
  <c r="F130" i="6"/>
  <c r="F128" i="6"/>
  <c r="F165" i="6"/>
  <c r="F163" i="6"/>
  <c r="F161" i="6"/>
  <c r="F159" i="6"/>
  <c r="F157" i="6"/>
  <c r="F164" i="6"/>
  <c r="F162" i="6"/>
  <c r="F160" i="6"/>
  <c r="F158" i="6"/>
  <c r="F156" i="6"/>
  <c r="F139" i="4"/>
  <c r="F143" i="4" s="1"/>
  <c r="F168" i="3"/>
  <c r="H139" i="4"/>
  <c r="H143" i="4" s="1"/>
  <c r="H168" i="3"/>
  <c r="J139" i="4"/>
  <c r="J143" i="4" s="1"/>
  <c r="J168" i="3"/>
  <c r="L139" i="4"/>
  <c r="L143" i="4" s="1"/>
  <c r="L168" i="3"/>
  <c r="E156" i="6"/>
  <c r="E142" i="6"/>
  <c r="E128" i="6"/>
  <c r="E114" i="6"/>
  <c r="E100" i="6"/>
  <c r="E86" i="6"/>
  <c r="E72" i="6"/>
  <c r="E58" i="6"/>
  <c r="E44" i="6"/>
  <c r="E30" i="6"/>
  <c r="E16" i="6"/>
  <c r="E22" i="5"/>
  <c r="F22" i="5" s="1"/>
  <c r="H22" i="5" s="1"/>
  <c r="C41" i="5"/>
  <c r="E56" i="5" s="1"/>
  <c r="F56" i="5" s="1"/>
  <c r="H56" i="5" s="1"/>
  <c r="E33" i="5"/>
  <c r="E32" i="5"/>
  <c r="E31" i="5"/>
  <c r="E30" i="5"/>
  <c r="E29" i="5"/>
  <c r="E28" i="5"/>
  <c r="E27" i="5"/>
  <c r="E26" i="5"/>
  <c r="E25" i="5"/>
  <c r="E24" i="5"/>
  <c r="E23" i="5"/>
  <c r="E157" i="6"/>
  <c r="E143" i="6"/>
  <c r="E129" i="6"/>
  <c r="E115" i="6"/>
  <c r="E101" i="6"/>
  <c r="E87" i="6"/>
  <c r="E73" i="6"/>
  <c r="E59" i="6"/>
  <c r="E45" i="6"/>
  <c r="E31" i="6"/>
  <c r="E17" i="6"/>
  <c r="E88" i="5"/>
  <c r="F88" i="5" s="1"/>
  <c r="H88" i="5" s="1"/>
  <c r="E66" i="5"/>
  <c r="F66" i="5" s="1"/>
  <c r="H66" i="5" s="1"/>
  <c r="E99" i="5"/>
  <c r="E98" i="5"/>
  <c r="E97" i="5"/>
  <c r="E96" i="5"/>
  <c r="E95" i="5"/>
  <c r="E94" i="5"/>
  <c r="E93" i="5"/>
  <c r="E92" i="5"/>
  <c r="E91" i="5"/>
  <c r="E90" i="5"/>
  <c r="E89" i="5"/>
  <c r="C85" i="5"/>
  <c r="E77" i="5"/>
  <c r="E76" i="5"/>
  <c r="E75" i="5"/>
  <c r="E74" i="5"/>
  <c r="E73" i="5"/>
  <c r="E72" i="5"/>
  <c r="E71" i="5"/>
  <c r="E70" i="5"/>
  <c r="E69" i="5"/>
  <c r="E68" i="5"/>
  <c r="E67" i="5"/>
  <c r="F39" i="6"/>
  <c r="F37" i="6"/>
  <c r="F35" i="6"/>
  <c r="F33" i="6"/>
  <c r="F31" i="6"/>
  <c r="F38" i="6"/>
  <c r="F36" i="6"/>
  <c r="F34" i="6"/>
  <c r="F32" i="6"/>
  <c r="F30" i="6"/>
  <c r="F67" i="6"/>
  <c r="F65" i="6"/>
  <c r="F63" i="6"/>
  <c r="F61" i="6"/>
  <c r="F59" i="6"/>
  <c r="F66" i="6"/>
  <c r="F64" i="6"/>
  <c r="F62" i="6"/>
  <c r="F60" i="6"/>
  <c r="F58" i="6"/>
  <c r="F95" i="6"/>
  <c r="F93" i="6"/>
  <c r="F91" i="6"/>
  <c r="F89" i="6"/>
  <c r="F87" i="6"/>
  <c r="F94" i="6"/>
  <c r="F92" i="6"/>
  <c r="F90" i="6"/>
  <c r="F88" i="6"/>
  <c r="F86" i="6"/>
  <c r="F123" i="6"/>
  <c r="F121" i="6"/>
  <c r="F122" i="6"/>
  <c r="F120" i="6"/>
  <c r="F119" i="6"/>
  <c r="F117" i="6"/>
  <c r="F115" i="6"/>
  <c r="F118" i="6"/>
  <c r="F116" i="6"/>
  <c r="F114" i="6"/>
  <c r="F151" i="6"/>
  <c r="F149" i="6"/>
  <c r="F147" i="6"/>
  <c r="F145" i="6"/>
  <c r="F143" i="6"/>
  <c r="F150" i="6"/>
  <c r="F148" i="6"/>
  <c r="F146" i="6"/>
  <c r="F144" i="6"/>
  <c r="F142" i="6"/>
  <c r="G439" i="5"/>
  <c r="G396" i="5"/>
  <c r="G353" i="5"/>
  <c r="G310" i="5"/>
  <c r="G266" i="5"/>
  <c r="G224" i="5"/>
  <c r="D219" i="10"/>
  <c r="C157" i="6"/>
  <c r="C143" i="6"/>
  <c r="C129" i="6"/>
  <c r="C115" i="6"/>
  <c r="C101" i="6"/>
  <c r="C87" i="6"/>
  <c r="C73" i="6"/>
  <c r="C59" i="6"/>
  <c r="C45" i="6"/>
  <c r="C31" i="6"/>
  <c r="C17" i="6"/>
  <c r="D221" i="10"/>
  <c r="C159" i="6"/>
  <c r="C145" i="6"/>
  <c r="C131" i="6"/>
  <c r="C117" i="6"/>
  <c r="C103" i="6"/>
  <c r="C89" i="6"/>
  <c r="C75" i="6"/>
  <c r="C61" i="6"/>
  <c r="C47" i="6"/>
  <c r="C33" i="6"/>
  <c r="C19" i="6"/>
  <c r="D223" i="10"/>
  <c r="C161" i="6"/>
  <c r="C147" i="6"/>
  <c r="C133" i="6"/>
  <c r="C119" i="6"/>
  <c r="C105" i="6"/>
  <c r="C91" i="6"/>
  <c r="C77" i="6"/>
  <c r="C63" i="6"/>
  <c r="C49" i="6"/>
  <c r="C35" i="6"/>
  <c r="C21" i="6"/>
  <c r="D225" i="10"/>
  <c r="C163" i="6"/>
  <c r="C149" i="6"/>
  <c r="C135" i="6"/>
  <c r="C121" i="6"/>
  <c r="C107" i="6"/>
  <c r="C93" i="6"/>
  <c r="C79" i="6"/>
  <c r="C65" i="6"/>
  <c r="C51" i="6"/>
  <c r="C37" i="6"/>
  <c r="C23" i="6"/>
  <c r="D227" i="10"/>
  <c r="C165" i="6"/>
  <c r="C151" i="6"/>
  <c r="C137" i="6"/>
  <c r="C123" i="6"/>
  <c r="C109" i="6"/>
  <c r="C95" i="6"/>
  <c r="C81" i="6"/>
  <c r="C67" i="6"/>
  <c r="C53" i="6"/>
  <c r="C39" i="6"/>
  <c r="C25" i="6"/>
  <c r="E158" i="6"/>
  <c r="E144" i="6"/>
  <c r="E130" i="6"/>
  <c r="E116" i="6"/>
  <c r="E102" i="6"/>
  <c r="E88" i="6"/>
  <c r="E74" i="6"/>
  <c r="E60" i="6"/>
  <c r="E46" i="6"/>
  <c r="E32" i="6"/>
  <c r="E18" i="6"/>
  <c r="E159" i="6"/>
  <c r="E145" i="6"/>
  <c r="E131" i="6"/>
  <c r="E117" i="6"/>
  <c r="E103" i="6"/>
  <c r="E89" i="6"/>
  <c r="E75" i="6"/>
  <c r="E61" i="6"/>
  <c r="E47" i="6"/>
  <c r="E33" i="6"/>
  <c r="E19" i="6"/>
  <c r="E160" i="6"/>
  <c r="E146" i="6"/>
  <c r="E132" i="6"/>
  <c r="E118" i="6"/>
  <c r="E104" i="6"/>
  <c r="E90" i="6"/>
  <c r="E76" i="6"/>
  <c r="E62" i="6"/>
  <c r="E48" i="6"/>
  <c r="E34" i="6"/>
  <c r="E20" i="6"/>
  <c r="E161" i="6"/>
  <c r="E147" i="6"/>
  <c r="E133" i="6"/>
  <c r="E119" i="6"/>
  <c r="E105" i="6"/>
  <c r="E91" i="6"/>
  <c r="E77" i="6"/>
  <c r="E63" i="6"/>
  <c r="E49" i="6"/>
  <c r="E35" i="6"/>
  <c r="E21" i="6"/>
  <c r="C232" i="5"/>
  <c r="E247" i="5" s="1"/>
  <c r="E162" i="6"/>
  <c r="E148" i="6"/>
  <c r="E134" i="6"/>
  <c r="E120" i="6"/>
  <c r="E106" i="6"/>
  <c r="E92" i="6"/>
  <c r="E78" i="6"/>
  <c r="E64" i="6"/>
  <c r="E50" i="6"/>
  <c r="E36" i="6"/>
  <c r="E22" i="6"/>
  <c r="C276" i="5"/>
  <c r="E291" i="5" s="1"/>
  <c r="E163" i="6"/>
  <c r="E149" i="6"/>
  <c r="E135" i="6"/>
  <c r="E121" i="6"/>
  <c r="E107" i="6"/>
  <c r="E93" i="6"/>
  <c r="E79" i="6"/>
  <c r="E65" i="6"/>
  <c r="E51" i="6"/>
  <c r="E37" i="6"/>
  <c r="E23" i="6"/>
  <c r="C318" i="5"/>
  <c r="E333" i="5" s="1"/>
  <c r="E164" i="6"/>
  <c r="E150" i="6"/>
  <c r="E136" i="6"/>
  <c r="E122" i="6"/>
  <c r="E108" i="6"/>
  <c r="E94" i="6"/>
  <c r="E80" i="6"/>
  <c r="E66" i="6"/>
  <c r="E52" i="6"/>
  <c r="E38" i="6"/>
  <c r="E24" i="6"/>
  <c r="C362" i="5"/>
  <c r="E377" i="5" s="1"/>
  <c r="E165" i="6"/>
  <c r="E151" i="6"/>
  <c r="E137" i="6"/>
  <c r="E123" i="6"/>
  <c r="E109" i="6"/>
  <c r="E95" i="6"/>
  <c r="E81" i="6"/>
  <c r="E67" i="6"/>
  <c r="E53" i="6"/>
  <c r="E39" i="6"/>
  <c r="E25" i="6"/>
  <c r="C405" i="5"/>
  <c r="E420" i="5" s="1"/>
  <c r="C111" i="3"/>
  <c r="C112" i="3"/>
  <c r="C113" i="3"/>
  <c r="C114" i="3"/>
  <c r="C115" i="3"/>
  <c r="C116" i="3"/>
  <c r="C117" i="3"/>
  <c r="C118" i="3"/>
  <c r="C119" i="3"/>
  <c r="C120" i="3"/>
  <c r="D100" i="4"/>
  <c r="D101" i="4"/>
  <c r="G101" i="4" s="1"/>
  <c r="D102" i="4"/>
  <c r="D103" i="4"/>
  <c r="G103" i="4" s="1"/>
  <c r="D104" i="4"/>
  <c r="D105" i="4"/>
  <c r="G105" i="4" s="1"/>
  <c r="D106" i="4"/>
  <c r="D107" i="4"/>
  <c r="G107" i="4" s="1"/>
  <c r="D108" i="4"/>
  <c r="D109" i="4"/>
  <c r="G109" i="4" s="1"/>
  <c r="C200" i="10"/>
  <c r="E200" i="10" s="1"/>
  <c r="C180" i="10"/>
  <c r="E180" i="10" s="1"/>
  <c r="C140" i="10"/>
  <c r="E140" i="10" s="1"/>
  <c r="C100" i="10"/>
  <c r="E100" i="10" s="1"/>
  <c r="C160" i="10"/>
  <c r="E160" i="10" s="1"/>
  <c r="C120" i="10"/>
  <c r="E120" i="10" s="1"/>
  <c r="C80" i="10"/>
  <c r="E80" i="10" s="1"/>
  <c r="C60" i="10"/>
  <c r="E60" i="10" s="1"/>
  <c r="C20" i="10"/>
  <c r="E20" i="10" s="1"/>
  <c r="C40" i="10"/>
  <c r="E40" i="10" s="1"/>
  <c r="C202" i="10"/>
  <c r="E202" i="10" s="1"/>
  <c r="C182" i="10"/>
  <c r="E182" i="10" s="1"/>
  <c r="C142" i="10"/>
  <c r="E142" i="10" s="1"/>
  <c r="C102" i="10"/>
  <c r="E102" i="10" s="1"/>
  <c r="C162" i="10"/>
  <c r="E162" i="10" s="1"/>
  <c r="C122" i="10"/>
  <c r="E122" i="10" s="1"/>
  <c r="C82" i="10"/>
  <c r="E82" i="10" s="1"/>
  <c r="C62" i="10"/>
  <c r="E62" i="10" s="1"/>
  <c r="C22" i="10"/>
  <c r="E22" i="10" s="1"/>
  <c r="C42" i="10"/>
  <c r="E42" i="10" s="1"/>
  <c r="C204" i="10"/>
  <c r="E204" i="10" s="1"/>
  <c r="C184" i="10"/>
  <c r="E184" i="10" s="1"/>
  <c r="C144" i="10"/>
  <c r="E144" i="10" s="1"/>
  <c r="C104" i="10"/>
  <c r="E104" i="10" s="1"/>
  <c r="C164" i="10"/>
  <c r="E164" i="10" s="1"/>
  <c r="C124" i="10"/>
  <c r="E124" i="10" s="1"/>
  <c r="C84" i="10"/>
  <c r="E84" i="10" s="1"/>
  <c r="C64" i="10"/>
  <c r="E64" i="10" s="1"/>
  <c r="C24" i="10"/>
  <c r="E24" i="10" s="1"/>
  <c r="C44" i="10"/>
  <c r="E44" i="10" s="1"/>
  <c r="C206" i="10"/>
  <c r="E206" i="10" s="1"/>
  <c r="C186" i="10"/>
  <c r="E186" i="10" s="1"/>
  <c r="C146" i="10"/>
  <c r="E146" i="10" s="1"/>
  <c r="C106" i="10"/>
  <c r="E106" i="10" s="1"/>
  <c r="C166" i="10"/>
  <c r="E166" i="10" s="1"/>
  <c r="C126" i="10"/>
  <c r="E126" i="10" s="1"/>
  <c r="C86" i="10"/>
  <c r="E86" i="10" s="1"/>
  <c r="C66" i="10"/>
  <c r="E66" i="10" s="1"/>
  <c r="C26" i="10"/>
  <c r="E26" i="10" s="1"/>
  <c r="C46" i="10"/>
  <c r="E46" i="10" s="1"/>
  <c r="C208" i="10"/>
  <c r="E208" i="10" s="1"/>
  <c r="C188" i="10"/>
  <c r="E188" i="10" s="1"/>
  <c r="C148" i="10"/>
  <c r="E148" i="10" s="1"/>
  <c r="C108" i="10"/>
  <c r="E108" i="10" s="1"/>
  <c r="C168" i="10"/>
  <c r="E168" i="10" s="1"/>
  <c r="C128" i="10"/>
  <c r="E128" i="10" s="1"/>
  <c r="C88" i="10"/>
  <c r="E88" i="10" s="1"/>
  <c r="C68" i="10"/>
  <c r="E68" i="10" s="1"/>
  <c r="C28" i="10"/>
  <c r="E28" i="10" s="1"/>
  <c r="C48" i="10"/>
  <c r="E48" i="10" s="1"/>
  <c r="C210" i="10"/>
  <c r="E210" i="10" s="1"/>
  <c r="C190" i="10"/>
  <c r="E190" i="10" s="1"/>
  <c r="C150" i="10"/>
  <c r="E150" i="10" s="1"/>
  <c r="C110" i="10"/>
  <c r="E110" i="10" s="1"/>
  <c r="C170" i="10"/>
  <c r="E170" i="10" s="1"/>
  <c r="C130" i="10"/>
  <c r="E130" i="10" s="1"/>
  <c r="C90" i="10"/>
  <c r="E90" i="10" s="1"/>
  <c r="C70" i="10"/>
  <c r="E70" i="10" s="1"/>
  <c r="C30" i="10"/>
  <c r="E30" i="10" s="1"/>
  <c r="C50" i="10"/>
  <c r="E50" i="10" s="1"/>
  <c r="G45" i="5"/>
  <c r="G46" i="5"/>
  <c r="G47" i="5"/>
  <c r="G48" i="5"/>
  <c r="G49" i="5"/>
  <c r="G50" i="5"/>
  <c r="G51" i="5"/>
  <c r="G52" i="5"/>
  <c r="G53" i="5"/>
  <c r="G54" i="5"/>
  <c r="G55" i="5"/>
  <c r="G89" i="5"/>
  <c r="G90" i="5"/>
  <c r="G91" i="5"/>
  <c r="G92" i="5"/>
  <c r="G93" i="5"/>
  <c r="G94" i="5"/>
  <c r="G95" i="5"/>
  <c r="G96" i="5"/>
  <c r="G97" i="5"/>
  <c r="G98" i="5"/>
  <c r="G99" i="5"/>
  <c r="C106" i="5"/>
  <c r="E121" i="5" s="1"/>
  <c r="G131" i="5"/>
  <c r="G132" i="5"/>
  <c r="G133" i="5"/>
  <c r="G134" i="5"/>
  <c r="G135" i="5"/>
  <c r="G136" i="5"/>
  <c r="G137" i="5"/>
  <c r="G138" i="5"/>
  <c r="G139" i="5"/>
  <c r="G140" i="5"/>
  <c r="G141" i="5"/>
  <c r="C148" i="5"/>
  <c r="E163" i="5" s="1"/>
  <c r="G173" i="5"/>
  <c r="G174" i="5"/>
  <c r="G175" i="5"/>
  <c r="G176" i="5"/>
  <c r="G177" i="5"/>
  <c r="G178" i="5"/>
  <c r="G182" i="5"/>
  <c r="C189" i="5"/>
  <c r="E204" i="5" s="1"/>
  <c r="G431" i="5"/>
  <c r="G388" i="5"/>
  <c r="G345" i="5"/>
  <c r="G302" i="5"/>
  <c r="G258" i="5"/>
  <c r="G216" i="5"/>
  <c r="G433" i="5"/>
  <c r="G390" i="5"/>
  <c r="G347" i="5"/>
  <c r="G304" i="5"/>
  <c r="G260" i="5"/>
  <c r="G218" i="5"/>
  <c r="G435" i="5"/>
  <c r="G392" i="5"/>
  <c r="G349" i="5"/>
  <c r="G306" i="5"/>
  <c r="G262" i="5"/>
  <c r="G220" i="5"/>
  <c r="G437" i="5"/>
  <c r="G394" i="5"/>
  <c r="G351" i="5"/>
  <c r="G308" i="5"/>
  <c r="G264" i="5"/>
  <c r="G222" i="5"/>
  <c r="G430" i="5"/>
  <c r="G387" i="5"/>
  <c r="G344" i="5"/>
  <c r="G301" i="5"/>
  <c r="G257" i="5"/>
  <c r="G215" i="5"/>
  <c r="G432" i="5"/>
  <c r="G389" i="5"/>
  <c r="G346" i="5"/>
  <c r="G303" i="5"/>
  <c r="G259" i="5"/>
  <c r="G217" i="5"/>
  <c r="G434" i="5"/>
  <c r="G391" i="5"/>
  <c r="G348" i="5"/>
  <c r="G305" i="5"/>
  <c r="G261" i="5"/>
  <c r="G219" i="5"/>
  <c r="G436" i="5"/>
  <c r="G393" i="5"/>
  <c r="G350" i="5"/>
  <c r="G307" i="5"/>
  <c r="G263" i="5"/>
  <c r="G221" i="5"/>
  <c r="G438" i="5"/>
  <c r="G395" i="5"/>
  <c r="G352" i="5"/>
  <c r="G309" i="5"/>
  <c r="G265" i="5"/>
  <c r="G223" i="5"/>
  <c r="G440" i="5"/>
  <c r="G397" i="5"/>
  <c r="G354" i="5"/>
  <c r="G311" i="5"/>
  <c r="G267" i="5"/>
  <c r="G225" i="5"/>
  <c r="D218" i="10"/>
  <c r="C156" i="6"/>
  <c r="C142" i="6"/>
  <c r="C128" i="6"/>
  <c r="C114" i="6"/>
  <c r="C100" i="6"/>
  <c r="C86" i="6"/>
  <c r="C72" i="6"/>
  <c r="C58" i="6"/>
  <c r="C44" i="6"/>
  <c r="C30" i="6"/>
  <c r="C16" i="6"/>
  <c r="D220" i="10"/>
  <c r="C158" i="6"/>
  <c r="C144" i="6"/>
  <c r="C130" i="6"/>
  <c r="C116" i="6"/>
  <c r="C102" i="6"/>
  <c r="C88" i="6"/>
  <c r="C74" i="6"/>
  <c r="C60" i="6"/>
  <c r="C46" i="6"/>
  <c r="C32" i="6"/>
  <c r="C18" i="6"/>
  <c r="D222" i="10"/>
  <c r="C160" i="6"/>
  <c r="C146" i="6"/>
  <c r="C132" i="6"/>
  <c r="C118" i="6"/>
  <c r="C104" i="6"/>
  <c r="C90" i="6"/>
  <c r="C76" i="6"/>
  <c r="C62" i="6"/>
  <c r="C48" i="6"/>
  <c r="C34" i="6"/>
  <c r="C20" i="6"/>
  <c r="D224" i="10"/>
  <c r="C162" i="6"/>
  <c r="C148" i="6"/>
  <c r="C134" i="6"/>
  <c r="C120" i="6"/>
  <c r="C106" i="6"/>
  <c r="C92" i="6"/>
  <c r="C78" i="6"/>
  <c r="C64" i="6"/>
  <c r="C50" i="6"/>
  <c r="C36" i="6"/>
  <c r="C22" i="6"/>
  <c r="D226" i="10"/>
  <c r="C164" i="6"/>
  <c r="C150" i="6"/>
  <c r="C136" i="6"/>
  <c r="C122" i="6"/>
  <c r="C108" i="6"/>
  <c r="C94" i="6"/>
  <c r="C80" i="6"/>
  <c r="C66" i="6"/>
  <c r="C52" i="6"/>
  <c r="C38" i="6"/>
  <c r="C24" i="6"/>
  <c r="B218" i="10"/>
  <c r="B16" i="7"/>
  <c r="B17" i="2" s="1"/>
  <c r="B156" i="6"/>
  <c r="B142" i="6"/>
  <c r="B128" i="6"/>
  <c r="B114" i="6"/>
  <c r="B100" i="6"/>
  <c r="B86" i="6"/>
  <c r="B72" i="6"/>
  <c r="B58" i="6"/>
  <c r="B44" i="6"/>
  <c r="B30" i="6"/>
  <c r="B16" i="6"/>
  <c r="B219" i="10"/>
  <c r="B17" i="7"/>
  <c r="B18" i="2" s="1"/>
  <c r="B157" i="6"/>
  <c r="B143" i="6"/>
  <c r="B129" i="6"/>
  <c r="B115" i="6"/>
  <c r="B101" i="6"/>
  <c r="B87" i="6"/>
  <c r="B73" i="6"/>
  <c r="B59" i="6"/>
  <c r="B45" i="6"/>
  <c r="B31" i="6"/>
  <c r="B17" i="6"/>
  <c r="B220" i="10"/>
  <c r="B18" i="7"/>
  <c r="B19" i="2" s="1"/>
  <c r="B158" i="6"/>
  <c r="B144" i="6"/>
  <c r="B130" i="6"/>
  <c r="B116" i="6"/>
  <c r="B102" i="6"/>
  <c r="B88" i="6"/>
  <c r="B74" i="6"/>
  <c r="B60" i="6"/>
  <c r="B46" i="6"/>
  <c r="B32" i="6"/>
  <c r="B18" i="6"/>
  <c r="B221" i="10"/>
  <c r="B19" i="7"/>
  <c r="B20" i="2" s="1"/>
  <c r="B159" i="6"/>
  <c r="B145" i="6"/>
  <c r="B131" i="6"/>
  <c r="B117" i="6"/>
  <c r="B103" i="6"/>
  <c r="B89" i="6"/>
  <c r="B75" i="6"/>
  <c r="B61" i="6"/>
  <c r="B47" i="6"/>
  <c r="B33" i="6"/>
  <c r="B19" i="6"/>
  <c r="B222" i="10"/>
  <c r="B20" i="7"/>
  <c r="B21" i="2" s="1"/>
  <c r="B160" i="6"/>
  <c r="B146" i="6"/>
  <c r="B132" i="6"/>
  <c r="B118" i="6"/>
  <c r="B104" i="6"/>
  <c r="B90" i="6"/>
  <c r="B76" i="6"/>
  <c r="B62" i="6"/>
  <c r="B48" i="6"/>
  <c r="B34" i="6"/>
  <c r="B20" i="6"/>
  <c r="B223" i="10"/>
  <c r="B21" i="7"/>
  <c r="B22" i="2" s="1"/>
  <c r="B161" i="6"/>
  <c r="B147" i="6"/>
  <c r="B133" i="6"/>
  <c r="B119" i="6"/>
  <c r="B105" i="6"/>
  <c r="B91" i="6"/>
  <c r="B77" i="6"/>
  <c r="B63" i="6"/>
  <c r="B49" i="6"/>
  <c r="B35" i="6"/>
  <c r="B21" i="6"/>
  <c r="B224" i="10"/>
  <c r="B22" i="7"/>
  <c r="B23" i="2" s="1"/>
  <c r="B162" i="6"/>
  <c r="B148" i="6"/>
  <c r="B134" i="6"/>
  <c r="B120" i="6"/>
  <c r="B106" i="6"/>
  <c r="B92" i="6"/>
  <c r="B78" i="6"/>
  <c r="B64" i="6"/>
  <c r="B50" i="6"/>
  <c r="B36" i="6"/>
  <c r="B22" i="6"/>
  <c r="B225" i="10"/>
  <c r="B23" i="7"/>
  <c r="B24" i="2" s="1"/>
  <c r="B163" i="6"/>
  <c r="B149" i="6"/>
  <c r="B135" i="6"/>
  <c r="B121" i="6"/>
  <c r="B107" i="6"/>
  <c r="B93" i="6"/>
  <c r="B79" i="6"/>
  <c r="B65" i="6"/>
  <c r="B51" i="6"/>
  <c r="B37" i="6"/>
  <c r="B23" i="6"/>
  <c r="B226" i="10"/>
  <c r="B24" i="7"/>
  <c r="B25" i="2" s="1"/>
  <c r="B164" i="6"/>
  <c r="B150" i="6"/>
  <c r="B136" i="6"/>
  <c r="B122" i="6"/>
  <c r="B108" i="6"/>
  <c r="B94" i="6"/>
  <c r="B80" i="6"/>
  <c r="B66" i="6"/>
  <c r="B52" i="6"/>
  <c r="B38" i="6"/>
  <c r="B24" i="6"/>
  <c r="B227" i="10"/>
  <c r="B25" i="7"/>
  <c r="B26" i="2" s="1"/>
  <c r="B165" i="6"/>
  <c r="B151" i="6"/>
  <c r="B137" i="6"/>
  <c r="B123" i="6"/>
  <c r="B109" i="6"/>
  <c r="B95" i="6"/>
  <c r="B81" i="6"/>
  <c r="B67" i="6"/>
  <c r="B53" i="6"/>
  <c r="B39" i="6"/>
  <c r="B25" i="6"/>
  <c r="C100" i="4"/>
  <c r="C102" i="4"/>
  <c r="C104" i="4"/>
  <c r="C106" i="4"/>
  <c r="G106" i="4" s="1"/>
  <c r="C108" i="4"/>
  <c r="C199" i="10"/>
  <c r="C179" i="10"/>
  <c r="C139" i="10"/>
  <c r="C99" i="10"/>
  <c r="C159" i="10"/>
  <c r="C119" i="10"/>
  <c r="C79" i="10"/>
  <c r="C59" i="10"/>
  <c r="C19" i="10"/>
  <c r="C39" i="10"/>
  <c r="C201" i="10"/>
  <c r="E201" i="10" s="1"/>
  <c r="C181" i="10"/>
  <c r="E181" i="10" s="1"/>
  <c r="C141" i="10"/>
  <c r="E141" i="10" s="1"/>
  <c r="C101" i="10"/>
  <c r="E101" i="10" s="1"/>
  <c r="C161" i="10"/>
  <c r="E161" i="10" s="1"/>
  <c r="C121" i="10"/>
  <c r="E121" i="10" s="1"/>
  <c r="C81" i="10"/>
  <c r="E81" i="10" s="1"/>
  <c r="C61" i="10"/>
  <c r="E61" i="10" s="1"/>
  <c r="C21" i="10"/>
  <c r="E21" i="10" s="1"/>
  <c r="C41" i="10"/>
  <c r="E41" i="10" s="1"/>
  <c r="C203" i="10"/>
  <c r="E203" i="10" s="1"/>
  <c r="C183" i="10"/>
  <c r="E183" i="10" s="1"/>
  <c r="C143" i="10"/>
  <c r="E143" i="10" s="1"/>
  <c r="C103" i="10"/>
  <c r="E103" i="10" s="1"/>
  <c r="C163" i="10"/>
  <c r="E163" i="10" s="1"/>
  <c r="C123" i="10"/>
  <c r="E123" i="10" s="1"/>
  <c r="C83" i="10"/>
  <c r="E83" i="10" s="1"/>
  <c r="C63" i="10"/>
  <c r="E63" i="10" s="1"/>
  <c r="C23" i="10"/>
  <c r="E23" i="10" s="1"/>
  <c r="C43" i="10"/>
  <c r="E43" i="10" s="1"/>
  <c r="C205" i="10"/>
  <c r="E205" i="10" s="1"/>
  <c r="C185" i="10"/>
  <c r="E185" i="10" s="1"/>
  <c r="C145" i="10"/>
  <c r="E145" i="10" s="1"/>
  <c r="C105" i="10"/>
  <c r="E105" i="10" s="1"/>
  <c r="C165" i="10"/>
  <c r="E165" i="10" s="1"/>
  <c r="C125" i="10"/>
  <c r="E125" i="10" s="1"/>
  <c r="C85" i="10"/>
  <c r="E85" i="10" s="1"/>
  <c r="C65" i="10"/>
  <c r="E65" i="10" s="1"/>
  <c r="C25" i="10"/>
  <c r="E25" i="10" s="1"/>
  <c r="C45" i="10"/>
  <c r="E45" i="10" s="1"/>
  <c r="C207" i="10"/>
  <c r="E207" i="10" s="1"/>
  <c r="C187" i="10"/>
  <c r="E187" i="10" s="1"/>
  <c r="C147" i="10"/>
  <c r="E147" i="10" s="1"/>
  <c r="C107" i="10"/>
  <c r="E107" i="10" s="1"/>
  <c r="C167" i="10"/>
  <c r="E167" i="10" s="1"/>
  <c r="C127" i="10"/>
  <c r="E127" i="10" s="1"/>
  <c r="C87" i="10"/>
  <c r="E87" i="10" s="1"/>
  <c r="C67" i="10"/>
  <c r="E67" i="10" s="1"/>
  <c r="C27" i="10"/>
  <c r="E27" i="10" s="1"/>
  <c r="C47" i="10"/>
  <c r="E47" i="10" s="1"/>
  <c r="C209" i="10"/>
  <c r="E209" i="10" s="1"/>
  <c r="C189" i="10"/>
  <c r="E189" i="10" s="1"/>
  <c r="C149" i="10"/>
  <c r="E149" i="10" s="1"/>
  <c r="C109" i="10"/>
  <c r="E109" i="10" s="1"/>
  <c r="C169" i="10"/>
  <c r="E169" i="10" s="1"/>
  <c r="C129" i="10"/>
  <c r="E129" i="10" s="1"/>
  <c r="C89" i="10"/>
  <c r="E89" i="10" s="1"/>
  <c r="C69" i="10"/>
  <c r="E69" i="10" s="1"/>
  <c r="C29" i="10"/>
  <c r="E29" i="10" s="1"/>
  <c r="C49" i="10"/>
  <c r="E49" i="10" s="1"/>
  <c r="L21" i="8"/>
  <c r="M21" i="8" s="1"/>
  <c r="L19" i="8" l="1"/>
  <c r="M19" i="8" s="1"/>
  <c r="L23" i="8"/>
  <c r="M23" i="8" s="1"/>
  <c r="G27" i="8"/>
  <c r="L22" i="8"/>
  <c r="M22" i="8" s="1"/>
  <c r="G104" i="4"/>
  <c r="J56" i="5"/>
  <c r="L24" i="8"/>
  <c r="M24" i="8" s="1"/>
  <c r="L20" i="8"/>
  <c r="M20" i="8" s="1"/>
  <c r="L18" i="8"/>
  <c r="M18" i="8" s="1"/>
  <c r="J14" i="8"/>
  <c r="L14" i="8"/>
  <c r="L25" i="8"/>
  <c r="M25" i="8" s="1"/>
  <c r="L17" i="8"/>
  <c r="M17" i="8" s="1"/>
  <c r="G108" i="4"/>
  <c r="G100" i="4"/>
  <c r="G102" i="4"/>
  <c r="F60" i="12"/>
  <c r="F73" i="12"/>
  <c r="F38" i="12"/>
  <c r="F25" i="12"/>
  <c r="G23" i="5"/>
  <c r="F23" i="5" s="1"/>
  <c r="G67" i="5"/>
  <c r="F67" i="5" s="1"/>
  <c r="C195" i="10"/>
  <c r="C175" i="10"/>
  <c r="C155" i="10"/>
  <c r="C135" i="10"/>
  <c r="C115" i="10"/>
  <c r="C75" i="10"/>
  <c r="C95" i="10"/>
  <c r="C55" i="10"/>
  <c r="C35" i="10"/>
  <c r="C15" i="10"/>
  <c r="H29" i="15"/>
  <c r="C21" i="11" s="1"/>
  <c r="I29" i="15"/>
  <c r="C58" i="2" s="1"/>
  <c r="C31" i="10"/>
  <c r="E19" i="10"/>
  <c r="E31" i="10" s="1"/>
  <c r="C91" i="10"/>
  <c r="E79" i="10"/>
  <c r="E91" i="10" s="1"/>
  <c r="C171" i="10"/>
  <c r="E159" i="10"/>
  <c r="E171" i="10" s="1"/>
  <c r="C151" i="10"/>
  <c r="E139" i="10"/>
  <c r="E151" i="10" s="1"/>
  <c r="C211" i="10"/>
  <c r="E199" i="10"/>
  <c r="E211" i="10" s="1"/>
  <c r="C211" i="5"/>
  <c r="E226" i="5" s="1"/>
  <c r="F226" i="5" s="1"/>
  <c r="H226" i="5" s="1"/>
  <c r="J226" i="5" s="1"/>
  <c r="E203" i="5"/>
  <c r="E202" i="5"/>
  <c r="E201" i="5"/>
  <c r="E200" i="5"/>
  <c r="E199" i="5"/>
  <c r="E192" i="5"/>
  <c r="F192" i="5" s="1"/>
  <c r="E198" i="5"/>
  <c r="E197" i="5"/>
  <c r="E196" i="5"/>
  <c r="E195" i="5"/>
  <c r="E194" i="5"/>
  <c r="E193" i="5"/>
  <c r="E109" i="5"/>
  <c r="F109" i="5" s="1"/>
  <c r="C127" i="5"/>
  <c r="E142" i="5" s="1"/>
  <c r="F142" i="5" s="1"/>
  <c r="H142" i="5" s="1"/>
  <c r="J142" i="5" s="1"/>
  <c r="E120" i="5"/>
  <c r="E119" i="5"/>
  <c r="E118" i="5"/>
  <c r="E117" i="5"/>
  <c r="E116" i="5"/>
  <c r="E115" i="5"/>
  <c r="E114" i="5"/>
  <c r="E113" i="5"/>
  <c r="E112" i="5"/>
  <c r="E111" i="5"/>
  <c r="E110" i="5"/>
  <c r="C176" i="10"/>
  <c r="G164" i="6"/>
  <c r="H164" i="6" s="1"/>
  <c r="G150" i="6"/>
  <c r="H150" i="6" s="1"/>
  <c r="G136" i="6"/>
  <c r="H136" i="6" s="1"/>
  <c r="G122" i="6"/>
  <c r="H122" i="6" s="1"/>
  <c r="G108" i="6"/>
  <c r="G94" i="6"/>
  <c r="H94" i="6" s="1"/>
  <c r="G80" i="6"/>
  <c r="H80" i="6" s="1"/>
  <c r="G66" i="6"/>
  <c r="G52" i="6"/>
  <c r="H52" i="6" s="1"/>
  <c r="G38" i="6"/>
  <c r="G24" i="6"/>
  <c r="H24" i="6" s="1"/>
  <c r="C136" i="10"/>
  <c r="G162" i="6"/>
  <c r="H162" i="6" s="1"/>
  <c r="G148" i="6"/>
  <c r="G134" i="6"/>
  <c r="H134" i="6" s="1"/>
  <c r="G120" i="6"/>
  <c r="G106" i="6"/>
  <c r="G92" i="6"/>
  <c r="H92" i="6" s="1"/>
  <c r="G78" i="6"/>
  <c r="G64" i="6"/>
  <c r="G50" i="6"/>
  <c r="H50" i="6" s="1"/>
  <c r="G36" i="6"/>
  <c r="H36" i="6" s="1"/>
  <c r="G22" i="6"/>
  <c r="H22" i="6" s="1"/>
  <c r="C96" i="10"/>
  <c r="G160" i="6"/>
  <c r="G146" i="6"/>
  <c r="H146" i="6" s="1"/>
  <c r="G132" i="6"/>
  <c r="H132" i="6" s="1"/>
  <c r="G118" i="6"/>
  <c r="H118" i="6" s="1"/>
  <c r="G104" i="6"/>
  <c r="H104" i="6" s="1"/>
  <c r="G90" i="6"/>
  <c r="H90" i="6" s="1"/>
  <c r="G76" i="6"/>
  <c r="H76" i="6" s="1"/>
  <c r="G62" i="6"/>
  <c r="G48" i="6"/>
  <c r="H48" i="6" s="1"/>
  <c r="G34" i="6"/>
  <c r="H34" i="6" s="1"/>
  <c r="G20" i="6"/>
  <c r="C56" i="10"/>
  <c r="G158" i="6"/>
  <c r="H158" i="6" s="1"/>
  <c r="G144" i="6"/>
  <c r="H144" i="6" s="1"/>
  <c r="G130" i="6"/>
  <c r="G116" i="6"/>
  <c r="G102" i="6"/>
  <c r="G88" i="6"/>
  <c r="H88" i="6" s="1"/>
  <c r="G74" i="6"/>
  <c r="H74" i="6" s="1"/>
  <c r="G60" i="6"/>
  <c r="G46" i="6"/>
  <c r="H46" i="6" s="1"/>
  <c r="G32" i="6"/>
  <c r="G18" i="6"/>
  <c r="C16" i="10"/>
  <c r="G156" i="6"/>
  <c r="G142" i="6"/>
  <c r="G128" i="6"/>
  <c r="G114" i="6"/>
  <c r="H114" i="6" s="1"/>
  <c r="G100" i="6"/>
  <c r="H100" i="6" s="1"/>
  <c r="G86" i="6"/>
  <c r="G72" i="6"/>
  <c r="H72" i="6" s="1"/>
  <c r="G58" i="6"/>
  <c r="H58" i="6" s="1"/>
  <c r="G44" i="6"/>
  <c r="H44" i="6" s="1"/>
  <c r="G30" i="6"/>
  <c r="G16" i="6"/>
  <c r="F89" i="5"/>
  <c r="H89" i="5" s="1"/>
  <c r="J89" i="5" s="1"/>
  <c r="F91" i="5"/>
  <c r="H91" i="5" s="1"/>
  <c r="J91" i="5" s="1"/>
  <c r="F93" i="5"/>
  <c r="H93" i="5" s="1"/>
  <c r="J93" i="5" s="1"/>
  <c r="F95" i="5"/>
  <c r="H95" i="5" s="1"/>
  <c r="J95" i="5" s="1"/>
  <c r="F97" i="5"/>
  <c r="H97" i="5" s="1"/>
  <c r="J97" i="5" s="1"/>
  <c r="F99" i="5"/>
  <c r="C51" i="10"/>
  <c r="E39" i="10"/>
  <c r="E51" i="10" s="1"/>
  <c r="C71" i="10"/>
  <c r="E59" i="10"/>
  <c r="E71" i="10" s="1"/>
  <c r="C131" i="10"/>
  <c r="E119" i="10"/>
  <c r="E131" i="10" s="1"/>
  <c r="C111" i="10"/>
  <c r="E99" i="10"/>
  <c r="E111" i="10" s="1"/>
  <c r="C191" i="10"/>
  <c r="E179" i="10"/>
  <c r="E191" i="10" s="1"/>
  <c r="E151" i="5"/>
  <c r="F151" i="5" s="1"/>
  <c r="C169" i="5"/>
  <c r="E184" i="5" s="1"/>
  <c r="F184" i="5" s="1"/>
  <c r="H184" i="5" s="1"/>
  <c r="J184" i="5" s="1"/>
  <c r="E162" i="5"/>
  <c r="E161" i="5"/>
  <c r="E160" i="5"/>
  <c r="E159" i="5"/>
  <c r="E158" i="5"/>
  <c r="E157" i="5"/>
  <c r="E156" i="5"/>
  <c r="E155" i="5"/>
  <c r="E154" i="5"/>
  <c r="E153" i="5"/>
  <c r="E152" i="5"/>
  <c r="C196" i="10"/>
  <c r="G165" i="6"/>
  <c r="H165" i="6" s="1"/>
  <c r="G151" i="6"/>
  <c r="G137" i="6"/>
  <c r="H137" i="6" s="1"/>
  <c r="G123" i="6"/>
  <c r="G109" i="6"/>
  <c r="H109" i="6" s="1"/>
  <c r="G95" i="6"/>
  <c r="G81" i="6"/>
  <c r="H81" i="6" s="1"/>
  <c r="G67" i="6"/>
  <c r="H67" i="6" s="1"/>
  <c r="G53" i="6"/>
  <c r="H53" i="6" s="1"/>
  <c r="G39" i="6"/>
  <c r="H39" i="6" s="1"/>
  <c r="G25" i="6"/>
  <c r="H25" i="6" s="1"/>
  <c r="C156" i="10"/>
  <c r="G163" i="6"/>
  <c r="H163" i="6" s="1"/>
  <c r="G149" i="6"/>
  <c r="H149" i="6" s="1"/>
  <c r="G135" i="6"/>
  <c r="H135" i="6" s="1"/>
  <c r="G121" i="6"/>
  <c r="G107" i="6"/>
  <c r="H107" i="6" s="1"/>
  <c r="G93" i="6"/>
  <c r="H93" i="6" s="1"/>
  <c r="G79" i="6"/>
  <c r="H79" i="6" s="1"/>
  <c r="G65" i="6"/>
  <c r="H65" i="6" s="1"/>
  <c r="G51" i="6"/>
  <c r="H51" i="6" s="1"/>
  <c r="G37" i="6"/>
  <c r="H37" i="6" s="1"/>
  <c r="G23" i="6"/>
  <c r="C116" i="10"/>
  <c r="G161" i="6"/>
  <c r="H161" i="6" s="1"/>
  <c r="G147" i="6"/>
  <c r="H147" i="6" s="1"/>
  <c r="G133" i="6"/>
  <c r="H133" i="6" s="1"/>
  <c r="G119" i="6"/>
  <c r="G105" i="6"/>
  <c r="H105" i="6" s="1"/>
  <c r="G91" i="6"/>
  <c r="H91" i="6" s="1"/>
  <c r="G77" i="6"/>
  <c r="H77" i="6" s="1"/>
  <c r="G63" i="6"/>
  <c r="H63" i="6" s="1"/>
  <c r="G49" i="6"/>
  <c r="H49" i="6" s="1"/>
  <c r="G21" i="6"/>
  <c r="H21" i="6" s="1"/>
  <c r="G35" i="6"/>
  <c r="C76" i="10"/>
  <c r="G159" i="6"/>
  <c r="H159" i="6" s="1"/>
  <c r="G145" i="6"/>
  <c r="G131" i="6"/>
  <c r="H131" i="6" s="1"/>
  <c r="G117" i="6"/>
  <c r="G103" i="6"/>
  <c r="H103" i="6" s="1"/>
  <c r="G89" i="6"/>
  <c r="H89" i="6" s="1"/>
  <c r="G75" i="6"/>
  <c r="H75" i="6" s="1"/>
  <c r="G61" i="6"/>
  <c r="H61" i="6" s="1"/>
  <c r="G47" i="6"/>
  <c r="H47" i="6" s="1"/>
  <c r="G19" i="6"/>
  <c r="H19" i="6" s="1"/>
  <c r="G33" i="6"/>
  <c r="H33" i="6" s="1"/>
  <c r="C36" i="10"/>
  <c r="G157" i="6"/>
  <c r="H157" i="6" s="1"/>
  <c r="G143" i="6"/>
  <c r="H143" i="6" s="1"/>
  <c r="G129" i="6"/>
  <c r="H129" i="6" s="1"/>
  <c r="G115" i="6"/>
  <c r="G101" i="6"/>
  <c r="H101" i="6" s="1"/>
  <c r="G87" i="6"/>
  <c r="H87" i="6" s="1"/>
  <c r="G73" i="6"/>
  <c r="H73" i="6" s="1"/>
  <c r="G59" i="6"/>
  <c r="H59" i="6" s="1"/>
  <c r="G17" i="6"/>
  <c r="G45" i="6"/>
  <c r="G31" i="6"/>
  <c r="H31" i="6" s="1"/>
  <c r="E408" i="5"/>
  <c r="F408" i="5" s="1"/>
  <c r="C426" i="5"/>
  <c r="E441" i="5" s="1"/>
  <c r="F441" i="5" s="1"/>
  <c r="E419" i="5"/>
  <c r="E418" i="5"/>
  <c r="E417" i="5"/>
  <c r="E416" i="5"/>
  <c r="E415" i="5"/>
  <c r="E414" i="5"/>
  <c r="E413" i="5"/>
  <c r="E412" i="5"/>
  <c r="E411" i="5"/>
  <c r="E410" i="5"/>
  <c r="E409" i="5"/>
  <c r="E365" i="5"/>
  <c r="F365" i="5" s="1"/>
  <c r="C383" i="5"/>
  <c r="E398" i="5" s="1"/>
  <c r="F398" i="5" s="1"/>
  <c r="H398" i="5" s="1"/>
  <c r="J398" i="5" s="1"/>
  <c r="E376" i="5"/>
  <c r="E375" i="5"/>
  <c r="E374" i="5"/>
  <c r="E373" i="5"/>
  <c r="E372" i="5"/>
  <c r="E371" i="5"/>
  <c r="E370" i="5"/>
  <c r="E369" i="5"/>
  <c r="E368" i="5"/>
  <c r="E367" i="5"/>
  <c r="E366" i="5"/>
  <c r="E321" i="5"/>
  <c r="F321" i="5" s="1"/>
  <c r="C340" i="5"/>
  <c r="E355" i="5" s="1"/>
  <c r="F355" i="5" s="1"/>
  <c r="H355" i="5" s="1"/>
  <c r="J355" i="5" s="1"/>
  <c r="E332" i="5"/>
  <c r="E331" i="5"/>
  <c r="E330" i="5"/>
  <c r="E329" i="5"/>
  <c r="E328" i="5"/>
  <c r="E327" i="5"/>
  <c r="E326" i="5"/>
  <c r="E325" i="5"/>
  <c r="E324" i="5"/>
  <c r="E323" i="5"/>
  <c r="E322" i="5"/>
  <c r="C297" i="5"/>
  <c r="E312" i="5" s="1"/>
  <c r="F312" i="5" s="1"/>
  <c r="H312" i="5" s="1"/>
  <c r="J312" i="5" s="1"/>
  <c r="E290" i="5"/>
  <c r="E289" i="5"/>
  <c r="E288" i="5"/>
  <c r="E287" i="5"/>
  <c r="E286" i="5"/>
  <c r="E285" i="5"/>
  <c r="E284" i="5"/>
  <c r="E283" i="5"/>
  <c r="E282" i="5"/>
  <c r="E281" i="5"/>
  <c r="E280" i="5"/>
  <c r="E279" i="5"/>
  <c r="F279" i="5" s="1"/>
  <c r="C253" i="5"/>
  <c r="E268" i="5" s="1"/>
  <c r="F268" i="5" s="1"/>
  <c r="H268" i="5" s="1"/>
  <c r="J268" i="5" s="1"/>
  <c r="E246" i="5"/>
  <c r="E245" i="5"/>
  <c r="E244" i="5"/>
  <c r="E243" i="5"/>
  <c r="E242" i="5"/>
  <c r="E241" i="5"/>
  <c r="E240" i="5"/>
  <c r="E239" i="5"/>
  <c r="E238" i="5"/>
  <c r="E237" i="5"/>
  <c r="E236" i="5"/>
  <c r="E235" i="5"/>
  <c r="F235" i="5" s="1"/>
  <c r="F90" i="5"/>
  <c r="H90" i="5" s="1"/>
  <c r="J90" i="5" s="1"/>
  <c r="F92" i="5"/>
  <c r="H92" i="5" s="1"/>
  <c r="J92" i="5" s="1"/>
  <c r="F94" i="5"/>
  <c r="H94" i="5" s="1"/>
  <c r="J94" i="5" s="1"/>
  <c r="F96" i="5"/>
  <c r="H96" i="5" s="1"/>
  <c r="J96" i="5" s="1"/>
  <c r="F98" i="5"/>
  <c r="H98" i="5" s="1"/>
  <c r="J98" i="5" s="1"/>
  <c r="E44" i="5"/>
  <c r="F44" i="5" s="1"/>
  <c r="H44" i="5" s="1"/>
  <c r="E55" i="5"/>
  <c r="F55" i="5" s="1"/>
  <c r="E54" i="5"/>
  <c r="F54" i="5" s="1"/>
  <c r="H54" i="5" s="1"/>
  <c r="J54" i="5" s="1"/>
  <c r="E53" i="5"/>
  <c r="F53" i="5" s="1"/>
  <c r="H53" i="5" s="1"/>
  <c r="J53" i="5" s="1"/>
  <c r="E52" i="5"/>
  <c r="F52" i="5" s="1"/>
  <c r="H52" i="5" s="1"/>
  <c r="J52" i="5" s="1"/>
  <c r="E51" i="5"/>
  <c r="F51" i="5" s="1"/>
  <c r="H51" i="5" s="1"/>
  <c r="J51" i="5" s="1"/>
  <c r="E50" i="5"/>
  <c r="F50" i="5" s="1"/>
  <c r="H50" i="5" s="1"/>
  <c r="J50" i="5" s="1"/>
  <c r="E49" i="5"/>
  <c r="F49" i="5" s="1"/>
  <c r="H49" i="5" s="1"/>
  <c r="J49" i="5" s="1"/>
  <c r="E48" i="5"/>
  <c r="F48" i="5" s="1"/>
  <c r="H48" i="5" s="1"/>
  <c r="J48" i="5" s="1"/>
  <c r="E47" i="5"/>
  <c r="F47" i="5" s="1"/>
  <c r="H47" i="5" s="1"/>
  <c r="J47" i="5" s="1"/>
  <c r="E46" i="5"/>
  <c r="F46" i="5" s="1"/>
  <c r="H46" i="5" s="1"/>
  <c r="J46" i="5" s="1"/>
  <c r="E45" i="5"/>
  <c r="F45" i="5" s="1"/>
  <c r="H45" i="5" s="1"/>
  <c r="J45" i="5" s="1"/>
  <c r="H117" i="6" l="1"/>
  <c r="I117" i="6" s="1"/>
  <c r="H121" i="6"/>
  <c r="I121" i="6" s="1"/>
  <c r="H102" i="6"/>
  <c r="I102" i="6" s="1"/>
  <c r="I118" i="6"/>
  <c r="I122" i="6"/>
  <c r="H23" i="6"/>
  <c r="I23" i="6" s="1"/>
  <c r="H62" i="6"/>
  <c r="I62" i="6" s="1"/>
  <c r="H66" i="6"/>
  <c r="I66" i="6" s="1"/>
  <c r="I91" i="6"/>
  <c r="I93" i="6"/>
  <c r="I74" i="6"/>
  <c r="I76" i="6"/>
  <c r="I24" i="6"/>
  <c r="I80" i="6"/>
  <c r="I136" i="6"/>
  <c r="H18" i="6"/>
  <c r="I18" i="6" s="1"/>
  <c r="H95" i="6"/>
  <c r="I95" i="6" s="1"/>
  <c r="H119" i="6"/>
  <c r="I119" i="6" s="1"/>
  <c r="H123" i="6"/>
  <c r="I123" i="6" s="1"/>
  <c r="H151" i="6"/>
  <c r="I151" i="6" s="1"/>
  <c r="H160" i="6"/>
  <c r="I160" i="6" s="1"/>
  <c r="H35" i="6"/>
  <c r="I35" i="6" s="1"/>
  <c r="H116" i="6"/>
  <c r="I116" i="6" s="1"/>
  <c r="H120" i="6"/>
  <c r="I120" i="6" s="1"/>
  <c r="H108" i="6"/>
  <c r="I108" i="6" s="1"/>
  <c r="H145" i="6"/>
  <c r="I145" i="6" s="1"/>
  <c r="I88" i="6"/>
  <c r="I144" i="6"/>
  <c r="I34" i="6"/>
  <c r="I90" i="6"/>
  <c r="I146" i="6"/>
  <c r="I36" i="6"/>
  <c r="I92" i="6"/>
  <c r="I94" i="6"/>
  <c r="I150" i="6"/>
  <c r="H20" i="6"/>
  <c r="I20" i="6" s="1"/>
  <c r="H130" i="6"/>
  <c r="I130" i="6" s="1"/>
  <c r="H78" i="6"/>
  <c r="I78" i="6" s="1"/>
  <c r="H60" i="6"/>
  <c r="I60" i="6" s="1"/>
  <c r="H64" i="6"/>
  <c r="I64" i="6" s="1"/>
  <c r="H106" i="6"/>
  <c r="I106" i="6" s="1"/>
  <c r="H32" i="6"/>
  <c r="I32" i="6" s="1"/>
  <c r="H148" i="6"/>
  <c r="I148" i="6" s="1"/>
  <c r="H38" i="6"/>
  <c r="I38" i="6" s="1"/>
  <c r="H17" i="6"/>
  <c r="I17" i="6" s="1"/>
  <c r="I72" i="6"/>
  <c r="I59" i="6"/>
  <c r="I44" i="6"/>
  <c r="I100" i="6"/>
  <c r="H142" i="6"/>
  <c r="I142" i="6" s="1"/>
  <c r="H45" i="6"/>
  <c r="I45" i="6" s="1"/>
  <c r="I87" i="6"/>
  <c r="H128" i="6"/>
  <c r="I128" i="6" s="1"/>
  <c r="I58" i="6"/>
  <c r="I114" i="6"/>
  <c r="H16" i="6"/>
  <c r="I16" i="6" s="1"/>
  <c r="H115" i="6"/>
  <c r="I115" i="6" s="1"/>
  <c r="H30" i="6"/>
  <c r="I30" i="6" s="1"/>
  <c r="H156" i="6"/>
  <c r="I156" i="6" s="1"/>
  <c r="H86" i="6"/>
  <c r="I86" i="6" s="1"/>
  <c r="I61" i="6"/>
  <c r="I65" i="6"/>
  <c r="I48" i="6"/>
  <c r="I25" i="6"/>
  <c r="I21" i="6"/>
  <c r="I19" i="6"/>
  <c r="I22" i="6"/>
  <c r="J441" i="5"/>
  <c r="H441" i="5"/>
  <c r="F45" i="12"/>
  <c r="C49" i="2" s="1"/>
  <c r="F88" i="12"/>
  <c r="C73" i="2" s="1"/>
  <c r="M14" i="8"/>
  <c r="M27" i="8" s="1"/>
  <c r="L27" i="8"/>
  <c r="C79" i="2" s="1"/>
  <c r="K14" i="8"/>
  <c r="K27" i="8" s="1"/>
  <c r="C17" i="11" s="1"/>
  <c r="J27" i="8"/>
  <c r="C16" i="11" s="1"/>
  <c r="C53" i="2" s="1"/>
  <c r="J66" i="5"/>
  <c r="J88" i="5"/>
  <c r="J22" i="5"/>
  <c r="C57" i="2"/>
  <c r="I157" i="6"/>
  <c r="I31" i="6"/>
  <c r="I73" i="6"/>
  <c r="I129" i="6"/>
  <c r="I33" i="6"/>
  <c r="I75" i="6"/>
  <c r="I131" i="6"/>
  <c r="I77" i="6"/>
  <c r="I133" i="6"/>
  <c r="I79" i="6"/>
  <c r="I135" i="6"/>
  <c r="I81" i="6"/>
  <c r="I101" i="6"/>
  <c r="I47" i="6"/>
  <c r="I103" i="6"/>
  <c r="I159" i="6"/>
  <c r="I49" i="6"/>
  <c r="I105" i="6"/>
  <c r="I161" i="6"/>
  <c r="I51" i="6"/>
  <c r="I107" i="6"/>
  <c r="I163" i="6"/>
  <c r="I53" i="6"/>
  <c r="I109" i="6"/>
  <c r="I165" i="6"/>
  <c r="F111" i="10"/>
  <c r="C222" i="10" s="1"/>
  <c r="E222" i="10" s="1"/>
  <c r="F222" i="10" s="1"/>
  <c r="G222" i="10" s="1"/>
  <c r="F171" i="10"/>
  <c r="C225" i="10" s="1"/>
  <c r="E225" i="10" s="1"/>
  <c r="F225" i="10" s="1"/>
  <c r="G225" i="10" s="1"/>
  <c r="I137" i="6"/>
  <c r="F31" i="10"/>
  <c r="C218" i="10" s="1"/>
  <c r="E218" i="10" s="1"/>
  <c r="F218" i="10" s="1"/>
  <c r="G218" i="10" s="1"/>
  <c r="F91" i="10"/>
  <c r="C221" i="10" s="1"/>
  <c r="E221" i="10" s="1"/>
  <c r="F221" i="10" s="1"/>
  <c r="G221" i="10" s="1"/>
  <c r="F191" i="10"/>
  <c r="C226" i="10" s="1"/>
  <c r="E226" i="10" s="1"/>
  <c r="F226" i="10" s="1"/>
  <c r="G226" i="10" s="1"/>
  <c r="I143" i="6"/>
  <c r="I50" i="6"/>
  <c r="I164" i="6"/>
  <c r="I147" i="6"/>
  <c r="I37" i="6"/>
  <c r="I158" i="6"/>
  <c r="I89" i="6"/>
  <c r="F51" i="10"/>
  <c r="C219" i="10" s="1"/>
  <c r="E219" i="10" s="1"/>
  <c r="F219" i="10" s="1"/>
  <c r="G219" i="10" s="1"/>
  <c r="F131" i="10"/>
  <c r="C223" i="10" s="1"/>
  <c r="E223" i="10" s="1"/>
  <c r="F223" i="10" s="1"/>
  <c r="G223" i="10" s="1"/>
  <c r="F211" i="10"/>
  <c r="C227" i="10" s="1"/>
  <c r="E227" i="10" s="1"/>
  <c r="F227" i="10" s="1"/>
  <c r="G227" i="10" s="1"/>
  <c r="F71" i="10"/>
  <c r="C220" i="10" s="1"/>
  <c r="E220" i="10" s="1"/>
  <c r="F220" i="10" s="1"/>
  <c r="G220" i="10" s="1"/>
  <c r="F151" i="10"/>
  <c r="C224" i="10" s="1"/>
  <c r="E224" i="10" s="1"/>
  <c r="F224" i="10" s="1"/>
  <c r="G224" i="10" s="1"/>
  <c r="I162" i="6"/>
  <c r="I52" i="6"/>
  <c r="I104" i="6"/>
  <c r="I149" i="6"/>
  <c r="I39" i="6"/>
  <c r="I134" i="6"/>
  <c r="I46" i="6"/>
  <c r="I132" i="6"/>
  <c r="I63" i="6"/>
  <c r="I67" i="6"/>
  <c r="C22" i="11"/>
  <c r="H279" i="5"/>
  <c r="E311" i="5"/>
  <c r="F311" i="5" s="1"/>
  <c r="E310" i="5"/>
  <c r="F310" i="5" s="1"/>
  <c r="H310" i="5" s="1"/>
  <c r="J310" i="5" s="1"/>
  <c r="E309" i="5"/>
  <c r="F309" i="5" s="1"/>
  <c r="H309" i="5" s="1"/>
  <c r="J309" i="5" s="1"/>
  <c r="E308" i="5"/>
  <c r="F308" i="5" s="1"/>
  <c r="H308" i="5" s="1"/>
  <c r="J308" i="5" s="1"/>
  <c r="E307" i="5"/>
  <c r="F307" i="5" s="1"/>
  <c r="H307" i="5" s="1"/>
  <c r="J307" i="5" s="1"/>
  <c r="E306" i="5"/>
  <c r="F306" i="5" s="1"/>
  <c r="H306" i="5" s="1"/>
  <c r="J306" i="5" s="1"/>
  <c r="E305" i="5"/>
  <c r="F305" i="5" s="1"/>
  <c r="H305" i="5" s="1"/>
  <c r="J305" i="5" s="1"/>
  <c r="E304" i="5"/>
  <c r="F304" i="5" s="1"/>
  <c r="H304" i="5" s="1"/>
  <c r="J304" i="5" s="1"/>
  <c r="E303" i="5"/>
  <c r="F303" i="5" s="1"/>
  <c r="H303" i="5" s="1"/>
  <c r="J303" i="5" s="1"/>
  <c r="E302" i="5"/>
  <c r="F302" i="5" s="1"/>
  <c r="H302" i="5" s="1"/>
  <c r="J302" i="5" s="1"/>
  <c r="E301" i="5"/>
  <c r="F301" i="5" s="1"/>
  <c r="H301" i="5" s="1"/>
  <c r="J301" i="5" s="1"/>
  <c r="E300" i="5"/>
  <c r="F300" i="5" s="1"/>
  <c r="H300" i="5" s="1"/>
  <c r="E343" i="5"/>
  <c r="F343" i="5" s="1"/>
  <c r="H343" i="5" s="1"/>
  <c r="E354" i="5"/>
  <c r="F354" i="5" s="1"/>
  <c r="E353" i="5"/>
  <c r="F353" i="5" s="1"/>
  <c r="H353" i="5" s="1"/>
  <c r="J353" i="5" s="1"/>
  <c r="E352" i="5"/>
  <c r="F352" i="5" s="1"/>
  <c r="H352" i="5" s="1"/>
  <c r="J352" i="5" s="1"/>
  <c r="E351" i="5"/>
  <c r="F351" i="5" s="1"/>
  <c r="H351" i="5" s="1"/>
  <c r="J351" i="5" s="1"/>
  <c r="E350" i="5"/>
  <c r="F350" i="5" s="1"/>
  <c r="H350" i="5" s="1"/>
  <c r="J350" i="5" s="1"/>
  <c r="E349" i="5"/>
  <c r="F349" i="5" s="1"/>
  <c r="H349" i="5" s="1"/>
  <c r="J349" i="5" s="1"/>
  <c r="E348" i="5"/>
  <c r="F348" i="5" s="1"/>
  <c r="H348" i="5" s="1"/>
  <c r="J348" i="5" s="1"/>
  <c r="E347" i="5"/>
  <c r="F347" i="5" s="1"/>
  <c r="H347" i="5" s="1"/>
  <c r="J347" i="5" s="1"/>
  <c r="E346" i="5"/>
  <c r="F346" i="5" s="1"/>
  <c r="H346" i="5" s="1"/>
  <c r="J346" i="5" s="1"/>
  <c r="E345" i="5"/>
  <c r="F345" i="5" s="1"/>
  <c r="H345" i="5" s="1"/>
  <c r="J345" i="5" s="1"/>
  <c r="E344" i="5"/>
  <c r="F344" i="5" s="1"/>
  <c r="H344" i="5" s="1"/>
  <c r="J344" i="5" s="1"/>
  <c r="H365" i="5"/>
  <c r="E429" i="5"/>
  <c r="F429" i="5" s="1"/>
  <c r="H429" i="5" s="1"/>
  <c r="E440" i="5"/>
  <c r="F440" i="5" s="1"/>
  <c r="E439" i="5"/>
  <c r="F439" i="5" s="1"/>
  <c r="H439" i="5" s="1"/>
  <c r="J439" i="5" s="1"/>
  <c r="E438" i="5"/>
  <c r="F438" i="5" s="1"/>
  <c r="H438" i="5" s="1"/>
  <c r="J438" i="5" s="1"/>
  <c r="E437" i="5"/>
  <c r="F437" i="5" s="1"/>
  <c r="H437" i="5" s="1"/>
  <c r="J437" i="5" s="1"/>
  <c r="E436" i="5"/>
  <c r="F436" i="5" s="1"/>
  <c r="H436" i="5" s="1"/>
  <c r="J436" i="5" s="1"/>
  <c r="E435" i="5"/>
  <c r="F435" i="5" s="1"/>
  <c r="H435" i="5" s="1"/>
  <c r="J435" i="5" s="1"/>
  <c r="E434" i="5"/>
  <c r="F434" i="5" s="1"/>
  <c r="H434" i="5" s="1"/>
  <c r="J434" i="5" s="1"/>
  <c r="E433" i="5"/>
  <c r="F433" i="5" s="1"/>
  <c r="H433" i="5" s="1"/>
  <c r="J433" i="5" s="1"/>
  <c r="E432" i="5"/>
  <c r="F432" i="5" s="1"/>
  <c r="H432" i="5" s="1"/>
  <c r="J432" i="5" s="1"/>
  <c r="E431" i="5"/>
  <c r="F431" i="5" s="1"/>
  <c r="H431" i="5" s="1"/>
  <c r="J431" i="5" s="1"/>
  <c r="E430" i="5"/>
  <c r="F430" i="5" s="1"/>
  <c r="H430" i="5" s="1"/>
  <c r="J430" i="5" s="1"/>
  <c r="H151" i="5"/>
  <c r="H67" i="5"/>
  <c r="H109" i="5"/>
  <c r="H55" i="5"/>
  <c r="H57" i="5" s="1"/>
  <c r="H235" i="5"/>
  <c r="E267" i="5"/>
  <c r="F267" i="5" s="1"/>
  <c r="E266" i="5"/>
  <c r="F266" i="5" s="1"/>
  <c r="H266" i="5" s="1"/>
  <c r="J266" i="5" s="1"/>
  <c r="E265" i="5"/>
  <c r="F265" i="5" s="1"/>
  <c r="H265" i="5" s="1"/>
  <c r="J265" i="5" s="1"/>
  <c r="E264" i="5"/>
  <c r="F264" i="5" s="1"/>
  <c r="H264" i="5" s="1"/>
  <c r="J264" i="5" s="1"/>
  <c r="E263" i="5"/>
  <c r="F263" i="5" s="1"/>
  <c r="H263" i="5" s="1"/>
  <c r="J263" i="5" s="1"/>
  <c r="E262" i="5"/>
  <c r="F262" i="5" s="1"/>
  <c r="H262" i="5" s="1"/>
  <c r="J262" i="5" s="1"/>
  <c r="E261" i="5"/>
  <c r="F261" i="5" s="1"/>
  <c r="H261" i="5" s="1"/>
  <c r="J261" i="5" s="1"/>
  <c r="E260" i="5"/>
  <c r="F260" i="5" s="1"/>
  <c r="H260" i="5" s="1"/>
  <c r="J260" i="5" s="1"/>
  <c r="E259" i="5"/>
  <c r="F259" i="5" s="1"/>
  <c r="H259" i="5" s="1"/>
  <c r="J259" i="5" s="1"/>
  <c r="E258" i="5"/>
  <c r="F258" i="5" s="1"/>
  <c r="H258" i="5" s="1"/>
  <c r="J258" i="5" s="1"/>
  <c r="E257" i="5"/>
  <c r="F257" i="5" s="1"/>
  <c r="H257" i="5" s="1"/>
  <c r="J257" i="5" s="1"/>
  <c r="E256" i="5"/>
  <c r="F256" i="5" s="1"/>
  <c r="H256" i="5" s="1"/>
  <c r="H321" i="5"/>
  <c r="E386" i="5"/>
  <c r="F386" i="5" s="1"/>
  <c r="H386" i="5" s="1"/>
  <c r="E397" i="5"/>
  <c r="F397" i="5" s="1"/>
  <c r="E396" i="5"/>
  <c r="F396" i="5" s="1"/>
  <c r="H396" i="5" s="1"/>
  <c r="J396" i="5" s="1"/>
  <c r="E395" i="5"/>
  <c r="F395" i="5" s="1"/>
  <c r="H395" i="5" s="1"/>
  <c r="J395" i="5" s="1"/>
  <c r="E394" i="5"/>
  <c r="F394" i="5" s="1"/>
  <c r="H394" i="5" s="1"/>
  <c r="J394" i="5" s="1"/>
  <c r="E393" i="5"/>
  <c r="F393" i="5" s="1"/>
  <c r="H393" i="5" s="1"/>
  <c r="J393" i="5" s="1"/>
  <c r="E392" i="5"/>
  <c r="F392" i="5" s="1"/>
  <c r="H392" i="5" s="1"/>
  <c r="J392" i="5" s="1"/>
  <c r="E391" i="5"/>
  <c r="F391" i="5" s="1"/>
  <c r="H391" i="5" s="1"/>
  <c r="J391" i="5" s="1"/>
  <c r="E390" i="5"/>
  <c r="F390" i="5" s="1"/>
  <c r="H390" i="5" s="1"/>
  <c r="J390" i="5" s="1"/>
  <c r="E389" i="5"/>
  <c r="F389" i="5" s="1"/>
  <c r="H389" i="5" s="1"/>
  <c r="J389" i="5" s="1"/>
  <c r="E388" i="5"/>
  <c r="F388" i="5" s="1"/>
  <c r="H388" i="5" s="1"/>
  <c r="J388" i="5" s="1"/>
  <c r="E387" i="5"/>
  <c r="F387" i="5" s="1"/>
  <c r="H387" i="5" s="1"/>
  <c r="J387" i="5" s="1"/>
  <c r="H408" i="5"/>
  <c r="E172" i="5"/>
  <c r="F172" i="5" s="1"/>
  <c r="H172" i="5" s="1"/>
  <c r="E183" i="5"/>
  <c r="F183" i="5" s="1"/>
  <c r="E182" i="5"/>
  <c r="F182" i="5" s="1"/>
  <c r="H182" i="5" s="1"/>
  <c r="J182" i="5" s="1"/>
  <c r="E181" i="5"/>
  <c r="F181" i="5" s="1"/>
  <c r="H181" i="5" s="1"/>
  <c r="J181" i="5" s="1"/>
  <c r="E180" i="5"/>
  <c r="F180" i="5" s="1"/>
  <c r="H180" i="5" s="1"/>
  <c r="J180" i="5" s="1"/>
  <c r="E179" i="5"/>
  <c r="F179" i="5" s="1"/>
  <c r="H179" i="5" s="1"/>
  <c r="J179" i="5" s="1"/>
  <c r="E178" i="5"/>
  <c r="F178" i="5" s="1"/>
  <c r="H178" i="5" s="1"/>
  <c r="J178" i="5" s="1"/>
  <c r="E177" i="5"/>
  <c r="F177" i="5" s="1"/>
  <c r="H177" i="5" s="1"/>
  <c r="J177" i="5" s="1"/>
  <c r="E176" i="5"/>
  <c r="F176" i="5" s="1"/>
  <c r="H176" i="5" s="1"/>
  <c r="J176" i="5" s="1"/>
  <c r="E175" i="5"/>
  <c r="F175" i="5" s="1"/>
  <c r="H175" i="5" s="1"/>
  <c r="J175" i="5" s="1"/>
  <c r="E174" i="5"/>
  <c r="F174" i="5" s="1"/>
  <c r="H174" i="5" s="1"/>
  <c r="J174" i="5" s="1"/>
  <c r="E173" i="5"/>
  <c r="F173" i="5" s="1"/>
  <c r="H173" i="5" s="1"/>
  <c r="J173" i="5" s="1"/>
  <c r="H23" i="5"/>
  <c r="H99" i="5"/>
  <c r="H101" i="5" s="1"/>
  <c r="G110" i="4"/>
  <c r="B15" i="9" s="1"/>
  <c r="E15" i="9" s="1"/>
  <c r="F15" i="9" s="1"/>
  <c r="E130" i="5"/>
  <c r="F130" i="5" s="1"/>
  <c r="H130" i="5" s="1"/>
  <c r="E141" i="5"/>
  <c r="F141" i="5" s="1"/>
  <c r="E140" i="5"/>
  <c r="F140" i="5" s="1"/>
  <c r="H140" i="5" s="1"/>
  <c r="J140" i="5" s="1"/>
  <c r="E139" i="5"/>
  <c r="F139" i="5" s="1"/>
  <c r="H139" i="5" s="1"/>
  <c r="J139" i="5" s="1"/>
  <c r="E138" i="5"/>
  <c r="F138" i="5" s="1"/>
  <c r="H138" i="5" s="1"/>
  <c r="J138" i="5" s="1"/>
  <c r="E137" i="5"/>
  <c r="F137" i="5" s="1"/>
  <c r="H137" i="5" s="1"/>
  <c r="J137" i="5" s="1"/>
  <c r="E136" i="5"/>
  <c r="F136" i="5" s="1"/>
  <c r="H136" i="5" s="1"/>
  <c r="J136" i="5" s="1"/>
  <c r="E135" i="5"/>
  <c r="F135" i="5" s="1"/>
  <c r="H135" i="5" s="1"/>
  <c r="J135" i="5" s="1"/>
  <c r="E134" i="5"/>
  <c r="F134" i="5" s="1"/>
  <c r="H134" i="5" s="1"/>
  <c r="J134" i="5" s="1"/>
  <c r="E133" i="5"/>
  <c r="F133" i="5" s="1"/>
  <c r="H133" i="5" s="1"/>
  <c r="J133" i="5" s="1"/>
  <c r="E132" i="5"/>
  <c r="F132" i="5" s="1"/>
  <c r="H132" i="5" s="1"/>
  <c r="J132" i="5" s="1"/>
  <c r="E131" i="5"/>
  <c r="F131" i="5" s="1"/>
  <c r="H131" i="5" s="1"/>
  <c r="J131" i="5" s="1"/>
  <c r="H192" i="5"/>
  <c r="E225" i="5"/>
  <c r="F225" i="5" s="1"/>
  <c r="E224" i="5"/>
  <c r="F224" i="5" s="1"/>
  <c r="H224" i="5" s="1"/>
  <c r="J224" i="5" s="1"/>
  <c r="E223" i="5"/>
  <c r="F223" i="5" s="1"/>
  <c r="H223" i="5" s="1"/>
  <c r="J223" i="5" s="1"/>
  <c r="E222" i="5"/>
  <c r="F222" i="5" s="1"/>
  <c r="H222" i="5" s="1"/>
  <c r="J222" i="5" s="1"/>
  <c r="E221" i="5"/>
  <c r="F221" i="5" s="1"/>
  <c r="H221" i="5" s="1"/>
  <c r="J221" i="5" s="1"/>
  <c r="E220" i="5"/>
  <c r="F220" i="5" s="1"/>
  <c r="H220" i="5" s="1"/>
  <c r="J220" i="5" s="1"/>
  <c r="E219" i="5"/>
  <c r="F219" i="5" s="1"/>
  <c r="H219" i="5" s="1"/>
  <c r="J219" i="5" s="1"/>
  <c r="E218" i="5"/>
  <c r="F218" i="5" s="1"/>
  <c r="H218" i="5" s="1"/>
  <c r="J218" i="5" s="1"/>
  <c r="E217" i="5"/>
  <c r="F217" i="5" s="1"/>
  <c r="H217" i="5" s="1"/>
  <c r="J217" i="5" s="1"/>
  <c r="E216" i="5"/>
  <c r="F216" i="5" s="1"/>
  <c r="H216" i="5" s="1"/>
  <c r="J216" i="5" s="1"/>
  <c r="E215" i="5"/>
  <c r="F215" i="5" s="1"/>
  <c r="H215" i="5" s="1"/>
  <c r="J215" i="5" s="1"/>
  <c r="E214" i="5"/>
  <c r="F214" i="5" s="1"/>
  <c r="H214" i="5" s="1"/>
  <c r="H124" i="6" l="1"/>
  <c r="C39" i="7" s="1"/>
  <c r="D39" i="7" s="1"/>
  <c r="H26" i="6"/>
  <c r="E16" i="7"/>
  <c r="F16" i="7" s="1"/>
  <c r="C54" i="2"/>
  <c r="J44" i="5"/>
  <c r="I57" i="5"/>
  <c r="I101" i="5"/>
  <c r="G24" i="5"/>
  <c r="F24" i="5" s="1"/>
  <c r="H40" i="6"/>
  <c r="C33" i="7" s="1"/>
  <c r="D33" i="7" s="1"/>
  <c r="D33" i="2" s="1"/>
  <c r="H152" i="6"/>
  <c r="C41" i="7" s="1"/>
  <c r="C41" i="2" s="1"/>
  <c r="I124" i="6"/>
  <c r="E24" i="7"/>
  <c r="F24" i="7" s="1"/>
  <c r="E22" i="7"/>
  <c r="F22" i="7" s="1"/>
  <c r="E18" i="7"/>
  <c r="F18" i="7" s="1"/>
  <c r="H138" i="6"/>
  <c r="C40" i="7" s="1"/>
  <c r="C40" i="2" s="1"/>
  <c r="H82" i="6"/>
  <c r="C36" i="7" s="1"/>
  <c r="E17" i="7"/>
  <c r="F17" i="7" s="1"/>
  <c r="H96" i="6"/>
  <c r="C37" i="7" s="1"/>
  <c r="D37" i="7" s="1"/>
  <c r="D37" i="2" s="1"/>
  <c r="E20" i="7"/>
  <c r="F20" i="7" s="1"/>
  <c r="H166" i="6"/>
  <c r="C42" i="7" s="1"/>
  <c r="H110" i="6"/>
  <c r="C38" i="7" s="1"/>
  <c r="D38" i="7" s="1"/>
  <c r="D38" i="2" s="1"/>
  <c r="H54" i="6"/>
  <c r="C34" i="7" s="1"/>
  <c r="H68" i="6"/>
  <c r="C35" i="7" s="1"/>
  <c r="I68" i="6"/>
  <c r="I152" i="6"/>
  <c r="I166" i="6"/>
  <c r="I110" i="6"/>
  <c r="I54" i="6"/>
  <c r="E21" i="7"/>
  <c r="F21" i="7" s="1"/>
  <c r="E23" i="7"/>
  <c r="F23" i="7" s="1"/>
  <c r="I40" i="6"/>
  <c r="I96" i="6"/>
  <c r="I138" i="6"/>
  <c r="I82" i="6"/>
  <c r="E25" i="7"/>
  <c r="F25" i="7" s="1"/>
  <c r="E19" i="7"/>
  <c r="F19" i="7" s="1"/>
  <c r="E228" i="10"/>
  <c r="F228" i="10" s="1"/>
  <c r="G322" i="5"/>
  <c r="F322" i="5" s="1"/>
  <c r="H322" i="5" s="1"/>
  <c r="G366" i="5"/>
  <c r="F366" i="5" s="1"/>
  <c r="H366" i="5" s="1"/>
  <c r="G280" i="5"/>
  <c r="F280" i="5" s="1"/>
  <c r="H280" i="5" s="1"/>
  <c r="H225" i="5"/>
  <c r="H227" i="5" s="1"/>
  <c r="H141" i="5"/>
  <c r="H143" i="5" s="1"/>
  <c r="H183" i="5"/>
  <c r="H185" i="5" s="1"/>
  <c r="D39" i="2"/>
  <c r="C39" i="2"/>
  <c r="H354" i="5"/>
  <c r="H356" i="5" s="1"/>
  <c r="H311" i="5"/>
  <c r="H313" i="5" s="1"/>
  <c r="C32" i="7"/>
  <c r="D32" i="7" s="1"/>
  <c r="G193" i="5"/>
  <c r="F193" i="5" s="1"/>
  <c r="C26" i="11"/>
  <c r="G409" i="5"/>
  <c r="F409" i="5" s="1"/>
  <c r="H397" i="5"/>
  <c r="H399" i="5" s="1"/>
  <c r="H267" i="5"/>
  <c r="H269" i="5" s="1"/>
  <c r="G236" i="5"/>
  <c r="F236" i="5" s="1"/>
  <c r="G110" i="5"/>
  <c r="F110" i="5" s="1"/>
  <c r="G68" i="5"/>
  <c r="F68" i="5" s="1"/>
  <c r="G152" i="5"/>
  <c r="F152" i="5" s="1"/>
  <c r="H440" i="5"/>
  <c r="H442" i="5" s="1"/>
  <c r="I26" i="6"/>
  <c r="H24" i="5" l="1"/>
  <c r="G25" i="5" s="1"/>
  <c r="F25" i="5" s="1"/>
  <c r="H25" i="5" s="1"/>
  <c r="J429" i="5"/>
  <c r="J408" i="5"/>
  <c r="J386" i="5"/>
  <c r="J365" i="5"/>
  <c r="J343" i="5"/>
  <c r="J321" i="5"/>
  <c r="J300" i="5"/>
  <c r="J279" i="5"/>
  <c r="J256" i="5"/>
  <c r="J235" i="5"/>
  <c r="J214" i="5"/>
  <c r="J192" i="5"/>
  <c r="J172" i="5"/>
  <c r="J151" i="5"/>
  <c r="J130" i="5"/>
  <c r="J109" i="5"/>
  <c r="J67" i="5"/>
  <c r="J55" i="5"/>
  <c r="J57" i="5" s="1"/>
  <c r="J99" i="5"/>
  <c r="J101" i="5" s="1"/>
  <c r="I399" i="5"/>
  <c r="I185" i="5"/>
  <c r="I356" i="5"/>
  <c r="I143" i="5"/>
  <c r="I313" i="5"/>
  <c r="I442" i="5"/>
  <c r="I269" i="5"/>
  <c r="I227" i="5"/>
  <c r="J24" i="5"/>
  <c r="G367" i="5"/>
  <c r="F367" i="5" s="1"/>
  <c r="H367" i="5" s="1"/>
  <c r="J367" i="5" s="1"/>
  <c r="J366" i="5"/>
  <c r="G323" i="5"/>
  <c r="F323" i="5" s="1"/>
  <c r="H323" i="5" s="1"/>
  <c r="J323" i="5" s="1"/>
  <c r="J322" i="5"/>
  <c r="J23" i="5"/>
  <c r="G281" i="5"/>
  <c r="F281" i="5" s="1"/>
  <c r="H281" i="5" s="1"/>
  <c r="J280" i="5"/>
  <c r="C33" i="2"/>
  <c r="C38" i="2"/>
  <c r="C37" i="2"/>
  <c r="C35" i="2"/>
  <c r="D35" i="7"/>
  <c r="D35" i="2" s="1"/>
  <c r="D40" i="7"/>
  <c r="D40" i="2" s="1"/>
  <c r="D34" i="7"/>
  <c r="D34" i="2" s="1"/>
  <c r="C31" i="11"/>
  <c r="C65" i="2" s="1"/>
  <c r="G228" i="10"/>
  <c r="C32" i="11" s="1"/>
  <c r="D41" i="7"/>
  <c r="D41" i="2" s="1"/>
  <c r="D42" i="7"/>
  <c r="D42" i="2" s="1"/>
  <c r="C36" i="2"/>
  <c r="D36" i="7"/>
  <c r="D36" i="2" s="1"/>
  <c r="C34" i="2"/>
  <c r="C42" i="2"/>
  <c r="C170" i="6"/>
  <c r="C171" i="6"/>
  <c r="H110" i="5"/>
  <c r="C27" i="11"/>
  <c r="C62" i="2"/>
  <c r="H152" i="5"/>
  <c r="H68" i="5"/>
  <c r="H236" i="5"/>
  <c r="H409" i="5"/>
  <c r="C61" i="2"/>
  <c r="H193" i="5"/>
  <c r="C32" i="2"/>
  <c r="J152" i="5" l="1"/>
  <c r="J141" i="5"/>
  <c r="J143" i="5" s="1"/>
  <c r="J225" i="5"/>
  <c r="J227" i="5" s="1"/>
  <c r="J440" i="5"/>
  <c r="J442" i="5" s="1"/>
  <c r="J183" i="5"/>
  <c r="J185" i="5" s="1"/>
  <c r="J267" i="5"/>
  <c r="J269" i="5" s="1"/>
  <c r="J311" i="5"/>
  <c r="J313" i="5" s="1"/>
  <c r="J354" i="5"/>
  <c r="J356" i="5" s="1"/>
  <c r="J397" i="5"/>
  <c r="J399" i="5" s="1"/>
  <c r="G410" i="5"/>
  <c r="F410" i="5" s="1"/>
  <c r="H410" i="5" s="1"/>
  <c r="G194" i="5"/>
  <c r="F194" i="5" s="1"/>
  <c r="H194" i="5" s="1"/>
  <c r="G69" i="5"/>
  <c r="F69" i="5" s="1"/>
  <c r="H69" i="5" s="1"/>
  <c r="G111" i="5"/>
  <c r="F111" i="5" s="1"/>
  <c r="H111" i="5" s="1"/>
  <c r="G26" i="5"/>
  <c r="F26" i="5" s="1"/>
  <c r="H26" i="5" s="1"/>
  <c r="J25" i="5"/>
  <c r="G237" i="5"/>
  <c r="F237" i="5" s="1"/>
  <c r="H237" i="5" s="1"/>
  <c r="C37" i="11"/>
  <c r="C69" i="2" s="1"/>
  <c r="C66" i="2"/>
  <c r="C38" i="11"/>
  <c r="C70" i="2" s="1"/>
  <c r="D32" i="2"/>
  <c r="G153" i="5"/>
  <c r="F153" i="5" s="1"/>
  <c r="G324" i="5"/>
  <c r="F324" i="5" s="1"/>
  <c r="G368" i="5"/>
  <c r="F368" i="5" s="1"/>
  <c r="G282" i="5"/>
  <c r="F282" i="5" s="1"/>
  <c r="J281" i="5" l="1"/>
  <c r="G27" i="5"/>
  <c r="F27" i="5" s="1"/>
  <c r="H27" i="5" s="1"/>
  <c r="J26" i="5"/>
  <c r="C31" i="7"/>
  <c r="G195" i="5"/>
  <c r="F195" i="5" s="1"/>
  <c r="H195" i="5" s="1"/>
  <c r="J194" i="5"/>
  <c r="G70" i="5"/>
  <c r="F70" i="5" s="1"/>
  <c r="H70" i="5" s="1"/>
  <c r="J69" i="5"/>
  <c r="G238" i="5"/>
  <c r="F238" i="5" s="1"/>
  <c r="H238" i="5" s="1"/>
  <c r="J237" i="5"/>
  <c r="J193" i="5"/>
  <c r="G411" i="5"/>
  <c r="F411" i="5" s="1"/>
  <c r="H411" i="5" s="1"/>
  <c r="J410" i="5"/>
  <c r="G112" i="5"/>
  <c r="F112" i="5" s="1"/>
  <c r="H112" i="5" s="1"/>
  <c r="J111" i="5"/>
  <c r="J236" i="5"/>
  <c r="J110" i="5"/>
  <c r="J68" i="5"/>
  <c r="J409" i="5"/>
  <c r="H282" i="5"/>
  <c r="H324" i="5"/>
  <c r="H368" i="5"/>
  <c r="H153" i="5"/>
  <c r="J368" i="5" l="1"/>
  <c r="G71" i="5"/>
  <c r="F71" i="5" s="1"/>
  <c r="H71" i="5" s="1"/>
  <c r="J70" i="5"/>
  <c r="G28" i="5"/>
  <c r="F28" i="5" s="1"/>
  <c r="H28" i="5" s="1"/>
  <c r="J27" i="5"/>
  <c r="D31" i="7"/>
  <c r="D31" i="2" s="1"/>
  <c r="C31" i="2"/>
  <c r="G239" i="5"/>
  <c r="F239" i="5" s="1"/>
  <c r="H239" i="5" s="1"/>
  <c r="J238" i="5"/>
  <c r="G196" i="5"/>
  <c r="F196" i="5" s="1"/>
  <c r="H196" i="5" s="1"/>
  <c r="G325" i="5"/>
  <c r="F325" i="5" s="1"/>
  <c r="H325" i="5" s="1"/>
  <c r="G283" i="5"/>
  <c r="F283" i="5" s="1"/>
  <c r="H283" i="5" s="1"/>
  <c r="G154" i="5"/>
  <c r="F154" i="5" s="1"/>
  <c r="H154" i="5" s="1"/>
  <c r="G113" i="5"/>
  <c r="F113" i="5" s="1"/>
  <c r="H113" i="5" s="1"/>
  <c r="G412" i="5"/>
  <c r="F412" i="5" s="1"/>
  <c r="H412" i="5" s="1"/>
  <c r="G369" i="5"/>
  <c r="F369" i="5" s="1"/>
  <c r="J112" i="5" l="1"/>
  <c r="G29" i="5"/>
  <c r="F29" i="5" s="1"/>
  <c r="H29" i="5" s="1"/>
  <c r="J28" i="5"/>
  <c r="G413" i="5"/>
  <c r="F413" i="5" s="1"/>
  <c r="H413" i="5" s="1"/>
  <c r="J412" i="5"/>
  <c r="G284" i="5"/>
  <c r="F284" i="5" s="1"/>
  <c r="H284" i="5" s="1"/>
  <c r="J283" i="5"/>
  <c r="G72" i="5"/>
  <c r="F72" i="5" s="1"/>
  <c r="H72" i="5" s="1"/>
  <c r="J71" i="5"/>
  <c r="G326" i="5"/>
  <c r="F326" i="5" s="1"/>
  <c r="H326" i="5" s="1"/>
  <c r="J325" i="5"/>
  <c r="G197" i="5"/>
  <c r="F197" i="5" s="1"/>
  <c r="H197" i="5" s="1"/>
  <c r="J196" i="5"/>
  <c r="G240" i="5"/>
  <c r="F240" i="5" s="1"/>
  <c r="H240" i="5" s="1"/>
  <c r="J239" i="5"/>
  <c r="G114" i="5"/>
  <c r="F114" i="5" s="1"/>
  <c r="H114" i="5" s="1"/>
  <c r="J113" i="5"/>
  <c r="G155" i="5"/>
  <c r="F155" i="5" s="1"/>
  <c r="H155" i="5" s="1"/>
  <c r="J154" i="5"/>
  <c r="J411" i="5"/>
  <c r="J153" i="5"/>
  <c r="J282" i="5"/>
  <c r="J324" i="5"/>
  <c r="J195" i="5"/>
  <c r="H369" i="5"/>
  <c r="G198" i="5" l="1"/>
  <c r="F198" i="5" s="1"/>
  <c r="H198" i="5" s="1"/>
  <c r="G115" i="5"/>
  <c r="F115" i="5" s="1"/>
  <c r="H115" i="5" s="1"/>
  <c r="J114" i="5"/>
  <c r="G73" i="5"/>
  <c r="F73" i="5" s="1"/>
  <c r="H73" i="5" s="1"/>
  <c r="J72" i="5"/>
  <c r="G414" i="5"/>
  <c r="F414" i="5" s="1"/>
  <c r="H414" i="5" s="1"/>
  <c r="G241" i="5"/>
  <c r="F241" i="5" s="1"/>
  <c r="H241" i="5" s="1"/>
  <c r="G285" i="5"/>
  <c r="F285" i="5" s="1"/>
  <c r="H285" i="5" s="1"/>
  <c r="G30" i="5"/>
  <c r="F30" i="5" s="1"/>
  <c r="H30" i="5" s="1"/>
  <c r="G370" i="5"/>
  <c r="F370" i="5" s="1"/>
  <c r="H370" i="5" s="1"/>
  <c r="G327" i="5"/>
  <c r="F327" i="5" s="1"/>
  <c r="H327" i="5" s="1"/>
  <c r="J326" i="5"/>
  <c r="G156" i="5"/>
  <c r="F156" i="5" s="1"/>
  <c r="H156" i="5" s="1"/>
  <c r="J155" i="5"/>
  <c r="J29" i="5" l="1"/>
  <c r="G415" i="5"/>
  <c r="F415" i="5" s="1"/>
  <c r="H415" i="5" s="1"/>
  <c r="J414" i="5"/>
  <c r="G286" i="5"/>
  <c r="F286" i="5" s="1"/>
  <c r="H286" i="5" s="1"/>
  <c r="J285" i="5"/>
  <c r="G31" i="5"/>
  <c r="F31" i="5" s="1"/>
  <c r="H31" i="5" s="1"/>
  <c r="J30" i="5"/>
  <c r="G371" i="5"/>
  <c r="F371" i="5" s="1"/>
  <c r="H371" i="5" s="1"/>
  <c r="J370" i="5"/>
  <c r="G242" i="5"/>
  <c r="F242" i="5" s="1"/>
  <c r="H242" i="5" s="1"/>
  <c r="J241" i="5"/>
  <c r="G199" i="5"/>
  <c r="F199" i="5" s="1"/>
  <c r="H199" i="5" s="1"/>
  <c r="J198" i="5"/>
  <c r="G328" i="5"/>
  <c r="F328" i="5" s="1"/>
  <c r="H328" i="5" s="1"/>
  <c r="J197" i="5"/>
  <c r="G74" i="5"/>
  <c r="F74" i="5" s="1"/>
  <c r="H74" i="5" s="1"/>
  <c r="G116" i="5"/>
  <c r="F116" i="5" s="1"/>
  <c r="H116" i="5" s="1"/>
  <c r="J115" i="5"/>
  <c r="J240" i="5"/>
  <c r="G157" i="5"/>
  <c r="F157" i="5" s="1"/>
  <c r="H157" i="5" s="1"/>
  <c r="J369" i="5"/>
  <c r="J284" i="5"/>
  <c r="J413" i="5"/>
  <c r="J73" i="5" l="1"/>
  <c r="G75" i="5"/>
  <c r="F75" i="5" s="1"/>
  <c r="H75" i="5" s="1"/>
  <c r="J74" i="5"/>
  <c r="G200" i="5"/>
  <c r="F200" i="5" s="1"/>
  <c r="H200" i="5" s="1"/>
  <c r="G287" i="5"/>
  <c r="F287" i="5" s="1"/>
  <c r="H287" i="5" s="1"/>
  <c r="J286" i="5"/>
  <c r="G117" i="5"/>
  <c r="F117" i="5" s="1"/>
  <c r="H117" i="5" s="1"/>
  <c r="G158" i="5"/>
  <c r="F158" i="5" s="1"/>
  <c r="H158" i="5" s="1"/>
  <c r="J157" i="5"/>
  <c r="G372" i="5"/>
  <c r="F372" i="5" s="1"/>
  <c r="H372" i="5" s="1"/>
  <c r="G329" i="5"/>
  <c r="F329" i="5" s="1"/>
  <c r="H329" i="5" s="1"/>
  <c r="J328" i="5"/>
  <c r="J327" i="5"/>
  <c r="G416" i="5"/>
  <c r="F416" i="5" s="1"/>
  <c r="H416" i="5" s="1"/>
  <c r="G32" i="5"/>
  <c r="F32" i="5" s="1"/>
  <c r="H32" i="5" s="1"/>
  <c r="G243" i="5"/>
  <c r="F243" i="5" s="1"/>
  <c r="H243" i="5" s="1"/>
  <c r="J156" i="5"/>
  <c r="J116" i="5" l="1"/>
  <c r="J31" i="5"/>
  <c r="G417" i="5"/>
  <c r="F417" i="5" s="1"/>
  <c r="H417" i="5" s="1"/>
  <c r="J416" i="5"/>
  <c r="G76" i="5"/>
  <c r="F76" i="5" s="1"/>
  <c r="H76" i="5" s="1"/>
  <c r="J75" i="5"/>
  <c r="G118" i="5"/>
  <c r="F118" i="5" s="1"/>
  <c r="H118" i="5" s="1"/>
  <c r="J117" i="5"/>
  <c r="J371" i="5"/>
  <c r="J199" i="5"/>
  <c r="G201" i="5"/>
  <c r="F201" i="5" s="1"/>
  <c r="H201" i="5" s="1"/>
  <c r="J200" i="5"/>
  <c r="G288" i="5"/>
  <c r="F288" i="5" s="1"/>
  <c r="H288" i="5" s="1"/>
  <c r="G244" i="5"/>
  <c r="F244" i="5" s="1"/>
  <c r="H244" i="5" s="1"/>
  <c r="J243" i="5"/>
  <c r="G159" i="5"/>
  <c r="F159" i="5" s="1"/>
  <c r="H159" i="5" s="1"/>
  <c r="G373" i="5"/>
  <c r="F373" i="5" s="1"/>
  <c r="H373" i="5" s="1"/>
  <c r="J372" i="5"/>
  <c r="G330" i="5"/>
  <c r="F330" i="5" s="1"/>
  <c r="H330" i="5" s="1"/>
  <c r="J329" i="5"/>
  <c r="G33" i="5"/>
  <c r="F33" i="5" s="1"/>
  <c r="H33" i="5" s="1"/>
  <c r="J32" i="5"/>
  <c r="J242" i="5"/>
  <c r="J415" i="5"/>
  <c r="G77" i="5" l="1"/>
  <c r="F77" i="5" s="1"/>
  <c r="G34" i="5"/>
  <c r="F34" i="5" s="1"/>
  <c r="H34" i="5" s="1"/>
  <c r="J33" i="5"/>
  <c r="G202" i="5"/>
  <c r="F202" i="5" s="1"/>
  <c r="H202" i="5" s="1"/>
  <c r="J201" i="5"/>
  <c r="G289" i="5"/>
  <c r="F289" i="5" s="1"/>
  <c r="H289" i="5" s="1"/>
  <c r="J288" i="5"/>
  <c r="J158" i="5"/>
  <c r="G331" i="5"/>
  <c r="F331" i="5" s="1"/>
  <c r="H331" i="5" s="1"/>
  <c r="J330" i="5"/>
  <c r="G160" i="5"/>
  <c r="F160" i="5" s="1"/>
  <c r="H160" i="5" s="1"/>
  <c r="J159" i="5"/>
  <c r="J287" i="5"/>
  <c r="G418" i="5"/>
  <c r="F418" i="5" s="1"/>
  <c r="H418" i="5" s="1"/>
  <c r="G374" i="5"/>
  <c r="F374" i="5" s="1"/>
  <c r="H374" i="5" s="1"/>
  <c r="G245" i="5"/>
  <c r="F245" i="5" s="1"/>
  <c r="H245" i="5" s="1"/>
  <c r="G119" i="5"/>
  <c r="F119" i="5" s="1"/>
  <c r="H119" i="5" s="1"/>
  <c r="J118" i="5"/>
  <c r="H77" i="5" l="1"/>
  <c r="J76" i="5"/>
  <c r="H35" i="5"/>
  <c r="G375" i="5"/>
  <c r="F375" i="5" s="1"/>
  <c r="H375" i="5" s="1"/>
  <c r="J374" i="5"/>
  <c r="G246" i="5"/>
  <c r="F246" i="5" s="1"/>
  <c r="J245" i="5"/>
  <c r="G419" i="5"/>
  <c r="F419" i="5" s="1"/>
  <c r="J418" i="5"/>
  <c r="G120" i="5"/>
  <c r="F120" i="5" s="1"/>
  <c r="J119" i="5"/>
  <c r="J244" i="5"/>
  <c r="J417" i="5"/>
  <c r="G332" i="5"/>
  <c r="F332" i="5" s="1"/>
  <c r="G290" i="5"/>
  <c r="F290" i="5" s="1"/>
  <c r="G161" i="5"/>
  <c r="F161" i="5" s="1"/>
  <c r="H161" i="5" s="1"/>
  <c r="J160" i="5"/>
  <c r="G203" i="5"/>
  <c r="F203" i="5" s="1"/>
  <c r="J373" i="5"/>
  <c r="H419" i="5" l="1"/>
  <c r="G420" i="5" s="1"/>
  <c r="F420" i="5" s="1"/>
  <c r="H420" i="5" s="1"/>
  <c r="H332" i="5"/>
  <c r="G333" i="5" s="1"/>
  <c r="F333" i="5" s="1"/>
  <c r="H333" i="5" s="1"/>
  <c r="H290" i="5"/>
  <c r="G291" i="5" s="1"/>
  <c r="F291" i="5" s="1"/>
  <c r="H291" i="5" s="1"/>
  <c r="H246" i="5"/>
  <c r="G247" i="5" s="1"/>
  <c r="F247" i="5" s="1"/>
  <c r="H247" i="5" s="1"/>
  <c r="H203" i="5"/>
  <c r="J203" i="5" s="1"/>
  <c r="H120" i="5"/>
  <c r="G121" i="5" s="1"/>
  <c r="F121" i="5" s="1"/>
  <c r="H121" i="5" s="1"/>
  <c r="J77" i="5"/>
  <c r="G78" i="5"/>
  <c r="F78" i="5" s="1"/>
  <c r="H78" i="5" s="1"/>
  <c r="J34" i="5"/>
  <c r="J35" i="5" s="1"/>
  <c r="I35" i="5"/>
  <c r="G162" i="5"/>
  <c r="F162" i="5" s="1"/>
  <c r="J161" i="5"/>
  <c r="G376" i="5"/>
  <c r="F376" i="5" s="1"/>
  <c r="J331" i="5"/>
  <c r="J202" i="5"/>
  <c r="J290" i="5"/>
  <c r="J289" i="5"/>
  <c r="G204" i="5" l="1"/>
  <c r="F204" i="5" s="1"/>
  <c r="H204" i="5" s="1"/>
  <c r="C16" i="7"/>
  <c r="D16" i="7" s="1"/>
  <c r="H16" i="7" s="1"/>
  <c r="D17" i="2" s="1"/>
  <c r="J246" i="5"/>
  <c r="J332" i="5"/>
  <c r="H421" i="5"/>
  <c r="H376" i="5"/>
  <c r="G377" i="5" s="1"/>
  <c r="F377" i="5" s="1"/>
  <c r="H377" i="5" s="1"/>
  <c r="H334" i="5"/>
  <c r="H292" i="5"/>
  <c r="H248" i="5"/>
  <c r="H205" i="5"/>
  <c r="H162" i="5"/>
  <c r="J162" i="5" s="1"/>
  <c r="J120" i="5"/>
  <c r="H122" i="5"/>
  <c r="H79" i="5"/>
  <c r="J419" i="5"/>
  <c r="J376" i="5"/>
  <c r="J375" i="5"/>
  <c r="G16" i="7" l="1"/>
  <c r="C17" i="2" s="1"/>
  <c r="G163" i="5"/>
  <c r="F163" i="5" s="1"/>
  <c r="H163" i="5" s="1"/>
  <c r="H164" i="5" s="1"/>
  <c r="J420" i="5"/>
  <c r="J421" i="5" s="1"/>
  <c r="I421" i="5"/>
  <c r="C25" i="7" s="1"/>
  <c r="G25" i="7" s="1"/>
  <c r="C26" i="2" s="1"/>
  <c r="H378" i="5"/>
  <c r="J333" i="5"/>
  <c r="J334" i="5" s="1"/>
  <c r="I334" i="5"/>
  <c r="C23" i="7" s="1"/>
  <c r="D23" i="7" s="1"/>
  <c r="H23" i="7" s="1"/>
  <c r="D24" i="2" s="1"/>
  <c r="J291" i="5"/>
  <c r="J292" i="5" s="1"/>
  <c r="I292" i="5"/>
  <c r="C22" i="7" s="1"/>
  <c r="G22" i="7" s="1"/>
  <c r="C23" i="2" s="1"/>
  <c r="J247" i="5"/>
  <c r="J248" i="5" s="1"/>
  <c r="I248" i="5"/>
  <c r="C21" i="7" s="1"/>
  <c r="G21" i="7" s="1"/>
  <c r="C22" i="2" s="1"/>
  <c r="J204" i="5"/>
  <c r="J205" i="5" s="1"/>
  <c r="I205" i="5"/>
  <c r="C20" i="7" s="1"/>
  <c r="D20" i="7" s="1"/>
  <c r="H20" i="7" s="1"/>
  <c r="D21" i="2" s="1"/>
  <c r="J78" i="5"/>
  <c r="J79" i="5" s="1"/>
  <c r="I79" i="5"/>
  <c r="J121" i="5"/>
  <c r="J122" i="5" s="1"/>
  <c r="I122" i="5"/>
  <c r="C18" i="7" s="1"/>
  <c r="D18" i="7" s="1"/>
  <c r="H18" i="7" s="1"/>
  <c r="D19" i="2" s="1"/>
  <c r="C17" i="7" l="1"/>
  <c r="D17" i="7" s="1"/>
  <c r="H17" i="7" s="1"/>
  <c r="D18" i="2" s="1"/>
  <c r="D25" i="7"/>
  <c r="H25" i="7" s="1"/>
  <c r="D26" i="2" s="1"/>
  <c r="J377" i="5"/>
  <c r="J378" i="5" s="1"/>
  <c r="I378" i="5"/>
  <c r="C24" i="7" s="1"/>
  <c r="G24" i="7" s="1"/>
  <c r="C25" i="2" s="1"/>
  <c r="G23" i="7"/>
  <c r="C24" i="2" s="1"/>
  <c r="D22" i="7"/>
  <c r="H22" i="7" s="1"/>
  <c r="D23" i="2" s="1"/>
  <c r="D21" i="7"/>
  <c r="H21" i="7" s="1"/>
  <c r="D22" i="2" s="1"/>
  <c r="G20" i="7"/>
  <c r="C21" i="2" s="1"/>
  <c r="J163" i="5"/>
  <c r="J164" i="5" s="1"/>
  <c r="I164" i="5"/>
  <c r="C19" i="7" s="1"/>
  <c r="G18" i="7"/>
  <c r="C19" i="2" s="1"/>
  <c r="G17" i="7" l="1"/>
  <c r="C18" i="2" s="1"/>
  <c r="C30" i="7"/>
  <c r="C30" i="2" s="1"/>
  <c r="D24" i="7"/>
  <c r="H24" i="7" s="1"/>
  <c r="D25" i="2" s="1"/>
  <c r="C450" i="5"/>
  <c r="C449" i="5"/>
  <c r="G19" i="7"/>
  <c r="C20" i="2" s="1"/>
  <c r="D19" i="7"/>
  <c r="H19" i="7" s="1"/>
  <c r="D20" i="2" s="1"/>
  <c r="D30" i="7" l="1"/>
  <c r="D30" i="2" s="1"/>
  <c r="C46" i="7"/>
  <c r="C45" i="2" s="1"/>
  <c r="C78" i="2" s="1"/>
  <c r="C81" i="2" s="1"/>
  <c r="C82" i="2" s="1"/>
  <c r="C88" i="2" s="1"/>
  <c r="C47" i="7" l="1"/>
  <c r="C46" i="2" s="1"/>
</calcChain>
</file>

<file path=xl/sharedStrings.xml><?xml version="1.0" encoding="utf-8"?>
<sst xmlns="http://schemas.openxmlformats.org/spreadsheetml/2006/main" count="1605" uniqueCount="772">
  <si>
    <t>COPtool Beta Version 2014k - September 2018</t>
  </si>
  <si>
    <t>COPtool</t>
  </si>
  <si>
    <t xml:space="preserve">This is a beta version of the calculation tool for Livestock Manure Management projects. </t>
  </si>
  <si>
    <t>Please inform the Climate Action Reserve of any issues that arise while using the tool by sending an email to policy@climateactionreserve.org</t>
  </si>
  <si>
    <t>Note on use of this tool:</t>
  </si>
  <si>
    <t>This tool is provided as a service to Reserve account holders, and is intended for the exclusive use of Reserve account holders and their designated agents.  As a condition to accessing the tool, the account holder agrees not to share the tool with third parties, with the exception of the project verifier and any others for whom the account holder has executed a Designation of Authority form.  Violation of this confidentiality provision shall be considered a violation of the Reserve’s Terms of Use.  Project developers and verifiers are expected to independently validate the tool prior to using it.  The project account holder bears sole responsibility for generating accurate project data.  The Reserve shall not be liable for any errors that result from usage of this tool.  The Reserve updates the tool from time to time.  It is the responsibility of the project account holder and verifier to confirm usage of the correct version of the tool. THE CALIFORNIA AIR RESOURCES BOARD OFFERS NO ENDORSEMENT OF THE USE OF THIS TOOL.</t>
  </si>
  <si>
    <t>Introduction to the Reserve COP Livestock Calculation Tool (COPtool):</t>
  </si>
  <si>
    <r>
      <t>The Climate Action Reserve (Reserve) has developed this calculation tool to in order to assist with the quantification of emission reductions in accordance with the State of California's Compliance Offset Protocol for Livestock Projects (LSCOP).  The tool is designed to be as "user-friendly" as possible, although upon first glance, this tool may seem very complicated.  It is important to note that</t>
    </r>
    <r>
      <rPr>
        <b/>
        <sz val="10"/>
        <rFont val="Arial"/>
        <family val="2"/>
      </rPr>
      <t xml:space="preserve"> the </t>
    </r>
    <r>
      <rPr>
        <b/>
        <i/>
        <sz val="10"/>
        <rFont val="Arial"/>
        <family val="2"/>
      </rPr>
      <t>only</t>
    </r>
    <r>
      <rPr>
        <b/>
        <sz val="10"/>
        <rFont val="Arial"/>
        <family val="2"/>
      </rPr>
      <t xml:space="preserve"> worksheets that require user input are worksheets III, IV, and V</t>
    </r>
    <r>
      <rPr>
        <sz val="10"/>
        <rFont val="Arial"/>
        <family val="2"/>
      </rPr>
      <t>.  The rest of the worksheets are for automatic calculations, tables and references, and equation summaries.  All worksheets other than III, IV, and V require NO user input or manipulation. With this in mind, the overall layout is described below.</t>
    </r>
  </si>
  <si>
    <t>COPtool Organization:</t>
  </si>
  <si>
    <t>Worksheet I. - Intro and Instructions</t>
  </si>
  <si>
    <t>Worksheet II.  - Calculation Summary - This page is where you will find a summary of the final emission reduction calculation results that will be reported to the Reserve.</t>
  </si>
  <si>
    <t>Worksheet III. - Data Inputs for the Baseline Scenario - This page is for inputting all baseline data  (drawn from on-site data and from lookup tables) necessary for the baseline emissions calculation.</t>
  </si>
  <si>
    <t>Worksheet IV. - Data Inputs for the Project Scenario - This page is for inputting all project data (drawn from on-site data and lookup tables) necessary for the project emissions calculation.</t>
  </si>
  <si>
    <r>
      <t xml:space="preserve">Worksheet V. - Baseline Methane Emissions from the Anaerobic Storage/Treatment System(s) - This page is mostly automated, however </t>
    </r>
    <r>
      <rPr>
        <b/>
        <sz val="10"/>
        <color indexed="10"/>
        <rFont val="Arial"/>
        <family val="2"/>
      </rPr>
      <t>the user is responsible for manually entering data from the previous year's calculation.</t>
    </r>
  </si>
  <si>
    <t>Worksheet VI. - Baseline Methane Emissions from Non-Anaerobic Storage/Treatment Systems - No user input/adjustments required.</t>
  </si>
  <si>
    <t>Worksheet VII. - Total Baseline Emissions - A summary of total baseline methane emissions by livestock category and storage/treatment system.  No user input/adjustment required.</t>
  </si>
  <si>
    <t>Worksheet VIII. - Project Methane Emissions from the Biogas Collection System - Automated, no user input/adjustment required.</t>
  </si>
  <si>
    <t>Worksheet IX - Project Methane Emissions from venting events - Automated, no user input/adjustment required.</t>
  </si>
  <si>
    <t>Worksheet X - Project Methane Emissions from the Effluent Pond - Automated, no user input/adjustment required.</t>
  </si>
  <si>
    <t>Worksheet XI - Project Methane Emissions from Non-BCS Systems -  Automated, no user input/adjustment required.</t>
  </si>
  <si>
    <t>Worksheet XII. - Total Project Methane Emissions - A summary of total Project methane emissions.  Automated, no user input/adjustment required.</t>
  </si>
  <si>
    <t>Worksheet XIII. - Total Baseline CO2 Emissions and Total Project CO2 Emissions - Automated, no user input/adjustment required.</t>
  </si>
  <si>
    <t>Worksheet XIV. - Reference Tables</t>
  </si>
  <si>
    <t>For convenience of use, cells within the worksheets are defined such that:</t>
  </si>
  <si>
    <t xml:space="preserve">    - fields that are required to be populated by the user using site-specific data are highlighted in Yellow.  </t>
  </si>
  <si>
    <t xml:space="preserve">     -fields that are required to be populated by information drawn from tables on Worksheet XIV are highlighted in Orange.</t>
  </si>
  <si>
    <r>
      <t xml:space="preserve">     -fields that are automatically calculated </t>
    </r>
    <r>
      <rPr>
        <b/>
        <sz val="10"/>
        <rFont val="Arial"/>
        <family val="2"/>
      </rPr>
      <t>but must be recorded and used as input for the next year's calculation are highlighted in Peach.</t>
    </r>
  </si>
  <si>
    <t xml:space="preserve">    - fields that are automatically completed using data drawn from information previously provided by the user are highlighted in Green.  </t>
  </si>
  <si>
    <t xml:space="preserve">    - constant values are provided in the Gray fields.</t>
  </si>
  <si>
    <t xml:space="preserve">    - fields that are automatically calculated  based on the site-specific and default values are highlighted in Blue.</t>
  </si>
  <si>
    <t xml:space="preserve">     -fields showing the final calculation results are highlighted in Rose.</t>
  </si>
  <si>
    <t xml:space="preserve">     -fields showing alerts and notes to the user are highlighted in Red.</t>
  </si>
  <si>
    <t xml:space="preserve"> - fields available for user notes and comments are highlighted in pale yellow</t>
  </si>
  <si>
    <r>
      <rPr>
        <b/>
        <sz val="10"/>
        <color indexed="10"/>
        <rFont val="Arial"/>
        <family val="2"/>
      </rPr>
      <t>DISCLAIMER:</t>
    </r>
    <r>
      <rPr>
        <sz val="10"/>
        <color indexed="10"/>
        <rFont val="Arial"/>
        <family val="2"/>
      </rPr>
      <t xml:space="preserve"> This model is intended to aid in the calculation of emission reductions using the guidelines and calculation methodologies prescribed in the </t>
    </r>
    <r>
      <rPr>
        <b/>
        <sz val="10"/>
        <color indexed="10"/>
        <rFont val="Arial"/>
        <family val="2"/>
      </rPr>
      <t>California Air Resources Board's Compliance Offset Protocol for Livestock Projects (adopted October 2010)</t>
    </r>
    <r>
      <rPr>
        <sz val="10"/>
        <color indexed="10"/>
        <rFont val="Arial"/>
        <family val="2"/>
      </rPr>
      <t xml:space="preserve">.  The language and formulae contained in this tool should not be viewed as official protocol guidance, which may only come from the CARB. </t>
    </r>
    <r>
      <rPr>
        <b/>
        <sz val="10"/>
        <color indexed="10"/>
        <rFont val="Arial"/>
        <family val="2"/>
      </rPr>
      <t>The language of the LSCOP always supersedes any guidance contained within this tool.</t>
    </r>
  </si>
  <si>
    <t>Summary of Changes to v2014k - September 2018</t>
  </si>
  <si>
    <t xml:space="preserve"> - Added section to Sheet III to allow user to enter the number of days the project was out of regulatory compliance during each month of the reporting period. This will pro-rate the baseline emissions, but not the project emissions (per guidance from ARB). The section for "days not reporting" remains and should only be used for reporting periods which begin/end mid-month (e.g., if the reporting period begins March 17th, then there are 16 days not being reported for March).</t>
  </si>
  <si>
    <t>Summary of Changes to v2014j - May 2018</t>
  </si>
  <si>
    <t xml:space="preserve"> - The reference tables referred to throughout the tool are revised so that they refer to the appropriate table on Worksheet XIV.</t>
  </si>
  <si>
    <t>Summary of Changes to v2014i - October 2016</t>
  </si>
  <si>
    <t xml:space="preserve"> - The formula for the van't Hoff Arrhenius factor (f) in Worksheet V has been revised so that it cannot exceed a value of 0.95. This replaces the previously incorrect maximum value of 1.00.</t>
  </si>
  <si>
    <t>Summary of Changes to v2014h - June 2016</t>
  </si>
  <si>
    <t xml:space="preserve"> - Fixed omission of the 13th month on worksheets V, VIII, and IX.</t>
  </si>
  <si>
    <t xml:space="preserve"> - Removed automatic identification of the value for the VS carryover at the end of the reporting period. Users must now determine the correct value to use for the subsequent reporting period. Please contact Reserve staff if you need assistance choosing the correct value.</t>
  </si>
  <si>
    <t>Summary of Changes to v2014g - June 2016</t>
  </si>
  <si>
    <t xml:space="preserve"> - Fixed summing formula in row 86 of Worksheet III (average animal population for the reporting period). Previously this formula omitted the 13th month of the list.</t>
  </si>
  <si>
    <t>Summary of Changes to v2014f - May 2016</t>
  </si>
  <si>
    <t xml:space="preserve"> - Fixed broken data validation for input cells C142 and C143 on Worksheet III</t>
  </si>
  <si>
    <r>
      <t xml:space="preserve"> - Updated standard temperature from 520 </t>
    </r>
    <r>
      <rPr>
        <sz val="10"/>
        <rFont val="Calibri"/>
        <family val="2"/>
      </rPr>
      <t>°</t>
    </r>
    <r>
      <rPr>
        <sz val="10"/>
        <rFont val="Arial"/>
        <family val="2"/>
      </rPr>
      <t>R to 519.67 °R for the calculations in columns C and G in Worksheet VIII</t>
    </r>
  </si>
  <si>
    <t xml:space="preserve"> - Updated several MCF values in Table A.5 in Worksheet XIV</t>
  </si>
  <si>
    <t>Summary of Changes to v2014e - January 2016</t>
  </si>
  <si>
    <t xml:space="preserve"> - The EF for natural gas in the Table A.7 excerpt for commonly-used fuels in Worksheet XIV contained a typo. The value has been corrected to 0.055.</t>
  </si>
  <si>
    <r>
      <t xml:space="preserve"> - There was a slight error in the calculation of the van't Hoff Arrhenius factor (</t>
    </r>
    <r>
      <rPr>
        <i/>
        <sz val="10"/>
        <rFont val="Arial"/>
        <family val="2"/>
      </rPr>
      <t>f</t>
    </r>
    <r>
      <rPr>
        <sz val="10"/>
        <rFont val="Arial"/>
        <family val="2"/>
      </rPr>
      <t>) in Worksheet V. For a portion of the formula, a reference temperature of 303.17 K was used, rather than the correct value of 303.16 K. This has been corrected, and should not have a material impact on the calculation results.</t>
    </r>
  </si>
  <si>
    <t>Summary of Changes to v2014d - November 2015</t>
  </si>
  <si>
    <r>
      <t xml:space="preserve"> - </t>
    </r>
    <r>
      <rPr>
        <sz val="10"/>
        <color rgb="FFFF0000"/>
        <rFont val="Arial"/>
        <family val="2"/>
      </rPr>
      <t>IMPORTANT:</t>
    </r>
    <r>
      <rPr>
        <sz val="10"/>
        <rFont val="Arial"/>
        <family val="2"/>
      </rPr>
      <t xml:space="preserve"> Changed the calculation of Equation 5.8. The 2011 COP applied B</t>
    </r>
    <r>
      <rPr>
        <vertAlign val="subscript"/>
        <sz val="10"/>
        <rFont val="Arial"/>
        <family val="2"/>
      </rPr>
      <t>0</t>
    </r>
    <r>
      <rPr>
        <sz val="10"/>
        <rFont val="Arial"/>
        <family val="2"/>
      </rPr>
      <t xml:space="preserve"> as a weighted average to the total VS</t>
    </r>
    <r>
      <rPr>
        <vertAlign val="subscript"/>
        <sz val="10"/>
        <rFont val="Arial"/>
        <family val="2"/>
      </rPr>
      <t>ep</t>
    </r>
    <r>
      <rPr>
        <sz val="10"/>
        <rFont val="Arial"/>
        <family val="2"/>
      </rPr>
      <t>, whereas the 2014 COP has moved B</t>
    </r>
    <r>
      <rPr>
        <vertAlign val="subscript"/>
        <sz val="10"/>
        <rFont val="Arial"/>
        <family val="2"/>
      </rPr>
      <t>0</t>
    </r>
    <r>
      <rPr>
        <sz val="10"/>
        <rFont val="Arial"/>
        <family val="2"/>
      </rPr>
      <t xml:space="preserve"> into the sub-equation for the calculation of VS</t>
    </r>
    <r>
      <rPr>
        <vertAlign val="subscript"/>
        <sz val="10"/>
        <rFont val="Arial"/>
        <family val="2"/>
      </rPr>
      <t>ep</t>
    </r>
    <r>
      <rPr>
        <sz val="10"/>
        <rFont val="Arial"/>
        <family val="2"/>
      </rPr>
      <t xml:space="preserve"> itself (thus applying B</t>
    </r>
    <r>
      <rPr>
        <vertAlign val="subscript"/>
        <sz val="10"/>
        <rFont val="Arial"/>
        <family val="2"/>
      </rPr>
      <t>0</t>
    </r>
    <r>
      <rPr>
        <sz val="10"/>
        <rFont val="Arial"/>
        <family val="2"/>
      </rPr>
      <t xml:space="preserve"> by livestock category). This change impacts Section IV.C of the tool.</t>
    </r>
  </si>
  <si>
    <t xml:space="preserve"> - Added a 13th month so that projects which begin mid-month can input an entire 12 month reporting period into a single tool. For example, if a project begins on March 15th, it will end on March 14th of the following year, necessitating 13 monthly rows to handle the quantification.</t>
  </si>
  <si>
    <t>Summary of Changes to v2014c - September 2015</t>
  </si>
  <si>
    <t xml:space="preserve"> - Revised text in cells in Column G of Worksheet V to fix incorrect references</t>
  </si>
  <si>
    <t xml:space="preserve"> - Revised Section III.A to have the user input the start and end dates of the reporting period, rather than select a single, calendar vintage year for the calculation</t>
  </si>
  <si>
    <t xml:space="preserve"> - Revised Month column in Section III.B to automatically populate 12 months beginning with the month of the reporting period start date</t>
  </si>
  <si>
    <t xml:space="preserve"> - Revised the Calendar Days Per Month column in Section III.B to automatically populate the correct number of days for each month, accounting for leap years</t>
  </si>
  <si>
    <t xml:space="preserve"> - Updated value in reference table for TAM of Calves (grazing)</t>
  </si>
  <si>
    <t>Summary of Changes to v2014b - April 2015</t>
  </si>
  <si>
    <t xml:space="preserve"> - Fixed formula in cells G34-G45 of INPUT-Baseline worksheet to display zero if a zero is entered in cells D34-D35 (Section III.B)</t>
  </si>
  <si>
    <t xml:space="preserve"> - Table A.4 in "References" tab updated to match exact values in Protocol Appendix A</t>
  </si>
  <si>
    <r>
      <t xml:space="preserve"> - "References" tab updated to reverse the third listed change from v2014a, changing the GWP of CH</t>
    </r>
    <r>
      <rPr>
        <vertAlign val="subscript"/>
        <sz val="10"/>
        <rFont val="Arial"/>
        <family val="2"/>
      </rPr>
      <t>4</t>
    </r>
    <r>
      <rPr>
        <sz val="10"/>
        <rFont val="Arial"/>
        <family val="2"/>
      </rPr>
      <t xml:space="preserve"> back to 21.</t>
    </r>
  </si>
  <si>
    <t>Summary of Changes to v2014a - February 2015</t>
  </si>
  <si>
    <t xml:space="preserve"> - Updated to reflect new compliance offset protocol adopted November 14, 2014</t>
  </si>
  <si>
    <t xml:space="preserve"> - Renamed tabs for usability and moved "References" sheet after Inputs-Project</t>
  </si>
  <si>
    <t xml:space="preserve"> - Add reference for the 100-year GWP of CH4 to the References sheet, update this value to 25, and change all uses of the previous GWP (21) to refer to this cell</t>
  </si>
  <si>
    <t xml:space="preserve"> - Updated protocol equation references to reflect altered numbering</t>
  </si>
  <si>
    <r>
      <t xml:space="preserve"> - Calculation of average P</t>
    </r>
    <r>
      <rPr>
        <vertAlign val="subscript"/>
        <sz val="10"/>
        <rFont val="Arial"/>
        <family val="2"/>
      </rPr>
      <t>L</t>
    </r>
    <r>
      <rPr>
        <sz val="10"/>
        <rFont val="Arial"/>
        <family val="2"/>
      </rPr>
      <t xml:space="preserve"> for reporting period updated to be a weighted average based on reporting days per month (worksheet INPUT-Baseline, cell range C83:L83)</t>
    </r>
  </si>
  <si>
    <t xml:space="preserve"> - Tables in "References" tab updated to reflect changes to Protocol Appendix A</t>
  </si>
  <si>
    <t>Summary of Changes to v2010d - May 2014</t>
  </si>
  <si>
    <t xml:space="preserve"> - Removed predefined names for each month, along with predefined calendar days. These parameters are now user-defined on worksheet III, section III.B. The user-input names and numbers should propagate to the rest of the cells which use these parameters. Verifiers should confirm the correct number of days are used for each month.</t>
  </si>
  <si>
    <t>Summary of Changes to v2010c - January 2014</t>
  </si>
  <si>
    <r>
      <t xml:space="preserve"> - Fixed formula in cell C88 of Summary worksheet to prevent crediting for reduced CO</t>
    </r>
    <r>
      <rPr>
        <vertAlign val="subscript"/>
        <sz val="10"/>
        <rFont val="Arial"/>
        <family val="2"/>
      </rPr>
      <t>2</t>
    </r>
    <r>
      <rPr>
        <sz val="10"/>
        <rFont val="Arial"/>
        <family val="2"/>
      </rPr>
      <t xml:space="preserve"> emissions from fossil fuel and electricity usage (Section II.D)</t>
    </r>
  </si>
  <si>
    <t xml:space="preserve"> - Adjusted certain automated formulas to prevent "N/A" and "VALUE!" results</t>
  </si>
  <si>
    <t>Summary of Changes to v2010b - November 2013</t>
  </si>
  <si>
    <r>
      <t xml:space="preserve"> - Adjusted procedure for pro-rating modeled CH</t>
    </r>
    <r>
      <rPr>
        <vertAlign val="subscript"/>
        <sz val="10"/>
        <rFont val="Arial"/>
        <family val="2"/>
      </rPr>
      <t>4</t>
    </r>
    <r>
      <rPr>
        <sz val="10"/>
        <rFont val="Arial"/>
        <family val="2"/>
      </rPr>
      <t xml:space="preserve"> emissions (Section III.B)</t>
    </r>
  </si>
  <si>
    <t>Summary of Changes to v2010a - June 2013</t>
  </si>
  <si>
    <t xml:space="preserve"> - First version of the tool (2010a)</t>
  </si>
  <si>
    <t>Please inform the Reserve of any issues that arise while using the tool by sending an email to policy@climateactionreserve.org</t>
  </si>
  <si>
    <t>Worksheet II:  Emissions Summary</t>
  </si>
  <si>
    <t>Legend:</t>
  </si>
  <si>
    <t>Green</t>
  </si>
  <si>
    <t>Automatically drawn from the other worksheets</t>
  </si>
  <si>
    <t>Blue</t>
  </si>
  <si>
    <t>Automatic calculations</t>
  </si>
  <si>
    <t>Rose</t>
  </si>
  <si>
    <t>Final Calculation Results</t>
  </si>
  <si>
    <t>Offset Project Registry Project ID</t>
  </si>
  <si>
    <t>Reporting Period</t>
  </si>
  <si>
    <t>II.A.  Total Modeled Baseline Emissions</t>
  </si>
  <si>
    <t xml:space="preserve">II.A.i. Total Modeled Baseline Methane Emissions by Livestock Category (L) </t>
  </si>
  <si>
    <t>Livestock Category (L)</t>
  </si>
  <si>
    <r>
      <t>Total BE</t>
    </r>
    <r>
      <rPr>
        <b/>
        <vertAlign val="subscript"/>
        <sz val="10"/>
        <rFont val="Arial"/>
        <family val="2"/>
      </rPr>
      <t>CH4,L,y</t>
    </r>
    <r>
      <rPr>
        <b/>
        <sz val="10"/>
        <rFont val="Arial"/>
        <family val="2"/>
      </rPr>
      <t xml:space="preserve"> (MT)</t>
    </r>
  </si>
  <si>
    <r>
      <t>Total BE</t>
    </r>
    <r>
      <rPr>
        <b/>
        <vertAlign val="subscript"/>
        <sz val="10"/>
        <rFont val="Arial"/>
        <family val="2"/>
      </rPr>
      <t xml:space="preserve">CH4,L,y </t>
    </r>
    <r>
      <rPr>
        <b/>
        <sz val="10"/>
        <rFont val="Arial"/>
        <family val="2"/>
      </rPr>
      <t>(CO2e)</t>
    </r>
  </si>
  <si>
    <t>II.A.ii. Total Modeled Baseline Methane Emissions by Storage/Treatment Component (S)</t>
  </si>
  <si>
    <t>Storage Component (S)</t>
  </si>
  <si>
    <r>
      <t>Total BE</t>
    </r>
    <r>
      <rPr>
        <b/>
        <vertAlign val="subscript"/>
        <sz val="10"/>
        <rFont val="Arial"/>
        <family val="2"/>
      </rPr>
      <t xml:space="preserve">CH4,S,y </t>
    </r>
    <r>
      <rPr>
        <b/>
        <sz val="10"/>
        <rFont val="Arial"/>
        <family val="2"/>
      </rPr>
      <t>(MT)</t>
    </r>
  </si>
  <si>
    <r>
      <t>Total BE</t>
    </r>
    <r>
      <rPr>
        <b/>
        <vertAlign val="subscript"/>
        <sz val="10"/>
        <rFont val="Arial"/>
        <family val="2"/>
      </rPr>
      <t xml:space="preserve">CH4,S,y </t>
    </r>
    <r>
      <rPr>
        <b/>
        <sz val="10"/>
        <rFont val="Arial"/>
        <family val="2"/>
      </rPr>
      <t>(CO2e)</t>
    </r>
  </si>
  <si>
    <t>II.A.iii.  Total Modeled Baseline Methane Emissions [Equation 5.2]</t>
  </si>
  <si>
    <r>
      <t>BE</t>
    </r>
    <r>
      <rPr>
        <b/>
        <vertAlign val="subscript"/>
        <sz val="10"/>
        <rFont val="Arial"/>
        <family val="2"/>
      </rPr>
      <t xml:space="preserve">CH4 </t>
    </r>
    <r>
      <rPr>
        <b/>
        <sz val="10"/>
        <rFont val="Arial"/>
        <family val="2"/>
      </rPr>
      <t>(MT) =</t>
    </r>
  </si>
  <si>
    <r>
      <t xml:space="preserve"> tonnes CH</t>
    </r>
    <r>
      <rPr>
        <b/>
        <vertAlign val="subscript"/>
        <sz val="10"/>
        <rFont val="Arial"/>
        <family val="2"/>
      </rPr>
      <t>4</t>
    </r>
    <r>
      <rPr>
        <b/>
        <sz val="10"/>
        <rFont val="Arial"/>
        <family val="2"/>
      </rPr>
      <t xml:space="preserve"> year</t>
    </r>
    <r>
      <rPr>
        <b/>
        <vertAlign val="superscript"/>
        <sz val="10"/>
        <rFont val="Arial"/>
        <family val="2"/>
      </rPr>
      <t>-1</t>
    </r>
  </si>
  <si>
    <r>
      <t>BE</t>
    </r>
    <r>
      <rPr>
        <b/>
        <vertAlign val="subscript"/>
        <sz val="10"/>
        <rFont val="Arial"/>
        <family val="2"/>
      </rPr>
      <t xml:space="preserve">CH4 </t>
    </r>
    <r>
      <rPr>
        <b/>
        <sz val="10"/>
        <rFont val="Arial"/>
        <family val="2"/>
      </rPr>
      <t>(CO</t>
    </r>
    <r>
      <rPr>
        <b/>
        <vertAlign val="subscript"/>
        <sz val="10"/>
        <rFont val="Arial"/>
        <family val="2"/>
      </rPr>
      <t>2</t>
    </r>
    <r>
      <rPr>
        <b/>
        <sz val="10"/>
        <rFont val="Arial"/>
        <family val="2"/>
      </rPr>
      <t xml:space="preserve">e) = </t>
    </r>
  </si>
  <si>
    <r>
      <t xml:space="preserve"> tonnes CO</t>
    </r>
    <r>
      <rPr>
        <b/>
        <vertAlign val="subscript"/>
        <sz val="10"/>
        <rFont val="Arial"/>
        <family val="2"/>
      </rPr>
      <t>2</t>
    </r>
    <r>
      <rPr>
        <b/>
        <sz val="10"/>
        <rFont val="Arial"/>
        <family val="2"/>
      </rPr>
      <t>e year</t>
    </r>
    <r>
      <rPr>
        <b/>
        <vertAlign val="superscript"/>
        <sz val="10"/>
        <rFont val="Arial"/>
        <family val="2"/>
      </rPr>
      <t>-1</t>
    </r>
  </si>
  <si>
    <r>
      <t>II.A.iv. Total Baseline Carbon Dioxide Emissions CO</t>
    </r>
    <r>
      <rPr>
        <b/>
        <vertAlign val="subscript"/>
        <sz val="10"/>
        <rFont val="Arial"/>
        <family val="2"/>
      </rPr>
      <t xml:space="preserve">2(MSC) </t>
    </r>
    <r>
      <rPr>
        <b/>
        <sz val="10"/>
        <rFont val="Arial"/>
        <family val="2"/>
      </rPr>
      <t>(CO2e)</t>
    </r>
  </si>
  <si>
    <r>
      <t xml:space="preserve"> tonnes CO</t>
    </r>
    <r>
      <rPr>
        <b/>
        <vertAlign val="subscript"/>
        <sz val="10"/>
        <rFont val="Arial"/>
        <family val="2"/>
      </rPr>
      <t>2</t>
    </r>
    <r>
      <rPr>
        <b/>
        <sz val="10"/>
        <rFont val="Arial"/>
        <family val="2"/>
      </rPr>
      <t xml:space="preserve"> year</t>
    </r>
    <r>
      <rPr>
        <b/>
        <vertAlign val="superscript"/>
        <sz val="10"/>
        <rFont val="Arial"/>
        <family val="2"/>
      </rPr>
      <t>-1</t>
    </r>
  </si>
  <si>
    <t>II.B. Total Project Emissions</t>
  </si>
  <si>
    <t>II.B.i.  Project Methane Emissions from the BCS</t>
  </si>
  <si>
    <r>
      <t>CH</t>
    </r>
    <r>
      <rPr>
        <b/>
        <vertAlign val="subscript"/>
        <sz val="10"/>
        <rFont val="Arial"/>
        <family val="2"/>
      </rPr>
      <t>4</t>
    </r>
    <r>
      <rPr>
        <b/>
        <sz val="10"/>
        <rFont val="Arial"/>
        <family val="2"/>
      </rPr>
      <t xml:space="preserve">(BCS) (MT) = </t>
    </r>
  </si>
  <si>
    <r>
      <t>CH</t>
    </r>
    <r>
      <rPr>
        <b/>
        <vertAlign val="subscript"/>
        <sz val="10"/>
        <rFont val="Arial"/>
        <family val="2"/>
      </rPr>
      <t>4</t>
    </r>
    <r>
      <rPr>
        <b/>
        <sz val="10"/>
        <rFont val="Arial"/>
        <family val="2"/>
      </rPr>
      <t>(BCS) (CO</t>
    </r>
    <r>
      <rPr>
        <b/>
        <vertAlign val="subscript"/>
        <sz val="10"/>
        <rFont val="Arial"/>
        <family val="2"/>
      </rPr>
      <t>2</t>
    </r>
    <r>
      <rPr>
        <b/>
        <sz val="10"/>
        <rFont val="Arial"/>
        <family val="2"/>
      </rPr>
      <t>e)</t>
    </r>
  </si>
  <si>
    <t>IIB.ii. Methane Emissions from Venting Events</t>
  </si>
  <si>
    <r>
      <t>CH</t>
    </r>
    <r>
      <rPr>
        <b/>
        <vertAlign val="subscript"/>
        <sz val="10"/>
        <rFont val="Arial"/>
        <family val="2"/>
      </rPr>
      <t>4,vent,i</t>
    </r>
    <r>
      <rPr>
        <b/>
        <sz val="10"/>
        <rFont val="Arial"/>
        <family val="2"/>
      </rPr>
      <t xml:space="preserve"> (MT)</t>
    </r>
  </si>
  <si>
    <r>
      <t>CH</t>
    </r>
    <r>
      <rPr>
        <b/>
        <vertAlign val="subscript"/>
        <sz val="10"/>
        <rFont val="Arial"/>
        <family val="2"/>
      </rPr>
      <t>4,vent,i</t>
    </r>
    <r>
      <rPr>
        <b/>
        <sz val="10"/>
        <rFont val="Arial"/>
        <family val="2"/>
      </rPr>
      <t xml:space="preserve"> (CO</t>
    </r>
    <r>
      <rPr>
        <b/>
        <vertAlign val="subscript"/>
        <sz val="10"/>
        <rFont val="Arial"/>
        <family val="2"/>
      </rPr>
      <t>2</t>
    </r>
    <r>
      <rPr>
        <b/>
        <sz val="10"/>
        <rFont val="Arial"/>
        <family val="2"/>
      </rPr>
      <t>e)</t>
    </r>
  </si>
  <si>
    <t>II.B.iii. Project Methane Emissions from the BCS Effluent Pond</t>
  </si>
  <si>
    <r>
      <t>CH</t>
    </r>
    <r>
      <rPr>
        <b/>
        <vertAlign val="subscript"/>
        <sz val="10"/>
        <rFont val="Arial"/>
        <family val="2"/>
      </rPr>
      <t>4</t>
    </r>
    <r>
      <rPr>
        <b/>
        <sz val="10"/>
        <rFont val="Arial"/>
        <family val="2"/>
      </rPr>
      <t>(EP) (MT) =</t>
    </r>
  </si>
  <si>
    <r>
      <t>CH</t>
    </r>
    <r>
      <rPr>
        <b/>
        <vertAlign val="subscript"/>
        <sz val="10"/>
        <rFont val="Arial"/>
        <family val="2"/>
      </rPr>
      <t>4</t>
    </r>
    <r>
      <rPr>
        <b/>
        <sz val="10"/>
        <rFont val="Arial"/>
        <family val="2"/>
      </rPr>
      <t>(EP) (CO</t>
    </r>
    <r>
      <rPr>
        <b/>
        <vertAlign val="subscript"/>
        <sz val="10"/>
        <rFont val="Arial"/>
        <family val="2"/>
      </rPr>
      <t>2</t>
    </r>
    <r>
      <rPr>
        <b/>
        <sz val="10"/>
        <rFont val="Arial"/>
        <family val="2"/>
      </rPr>
      <t>e)</t>
    </r>
  </si>
  <si>
    <t>II.B.iv.  Project Methane Emissions from Non-BCS-Related Sources</t>
  </si>
  <si>
    <r>
      <t>CH</t>
    </r>
    <r>
      <rPr>
        <b/>
        <vertAlign val="subscript"/>
        <sz val="10"/>
        <rFont val="Arial"/>
        <family val="2"/>
      </rPr>
      <t>4</t>
    </r>
    <r>
      <rPr>
        <b/>
        <sz val="10"/>
        <rFont val="Arial"/>
        <family val="2"/>
      </rPr>
      <t xml:space="preserve">(nonBCS sources) (MT) = </t>
    </r>
  </si>
  <si>
    <r>
      <t>CH</t>
    </r>
    <r>
      <rPr>
        <b/>
        <vertAlign val="subscript"/>
        <sz val="10"/>
        <rFont val="Arial"/>
        <family val="2"/>
      </rPr>
      <t>4</t>
    </r>
    <r>
      <rPr>
        <b/>
        <sz val="10"/>
        <rFont val="Arial"/>
        <family val="2"/>
      </rPr>
      <t>(nonBCS sources) (CO</t>
    </r>
    <r>
      <rPr>
        <b/>
        <vertAlign val="subscript"/>
        <sz val="10"/>
        <rFont val="Arial"/>
        <family val="2"/>
      </rPr>
      <t>2</t>
    </r>
    <r>
      <rPr>
        <b/>
        <sz val="10"/>
        <rFont val="Arial"/>
        <family val="2"/>
      </rPr>
      <t>e)</t>
    </r>
  </si>
  <si>
    <t>II.B.v.  Total Project Methane Emissions [Equation 5.5]</t>
  </si>
  <si>
    <r>
      <t>PE</t>
    </r>
    <r>
      <rPr>
        <b/>
        <vertAlign val="subscript"/>
        <sz val="10"/>
        <rFont val="Arial"/>
        <family val="2"/>
      </rPr>
      <t xml:space="preserve">CH4 </t>
    </r>
    <r>
      <rPr>
        <b/>
        <sz val="10"/>
        <rFont val="Arial"/>
        <family val="2"/>
      </rPr>
      <t>(MT)</t>
    </r>
  </si>
  <si>
    <r>
      <t>PE</t>
    </r>
    <r>
      <rPr>
        <b/>
        <vertAlign val="subscript"/>
        <sz val="10"/>
        <rFont val="Arial"/>
        <family val="2"/>
      </rPr>
      <t>CH4</t>
    </r>
    <r>
      <rPr>
        <b/>
        <sz val="10"/>
        <rFont val="Arial"/>
        <family val="2"/>
      </rPr>
      <t>(CO</t>
    </r>
    <r>
      <rPr>
        <b/>
        <vertAlign val="subscript"/>
        <sz val="10"/>
        <rFont val="Arial"/>
        <family val="2"/>
      </rPr>
      <t>2</t>
    </r>
    <r>
      <rPr>
        <b/>
        <sz val="10"/>
        <rFont val="Arial"/>
        <family val="2"/>
      </rPr>
      <t xml:space="preserve">e) = </t>
    </r>
  </si>
  <si>
    <r>
      <t>II.B.vi. Total Project Carbon Dioxide Emissions CO</t>
    </r>
    <r>
      <rPr>
        <b/>
        <vertAlign val="subscript"/>
        <sz val="10"/>
        <rFont val="Arial"/>
        <family val="2"/>
      </rPr>
      <t xml:space="preserve">2(MSC) </t>
    </r>
    <r>
      <rPr>
        <b/>
        <sz val="10"/>
        <rFont val="Arial"/>
        <family val="2"/>
      </rPr>
      <t>(CO2e)</t>
    </r>
  </si>
  <si>
    <t>II.C. Comparison of Modeled Methane Reductions to Total Quantity of Destroyed Methane</t>
  </si>
  <si>
    <r>
      <t>(BE</t>
    </r>
    <r>
      <rPr>
        <b/>
        <vertAlign val="subscript"/>
        <sz val="10"/>
        <rFont val="Arial"/>
        <family val="2"/>
      </rPr>
      <t xml:space="preserve">CH4 </t>
    </r>
    <r>
      <rPr>
        <b/>
        <sz val="10"/>
        <rFont val="Arial"/>
        <family val="2"/>
      </rPr>
      <t>(MT) - PE</t>
    </r>
    <r>
      <rPr>
        <b/>
        <vertAlign val="subscript"/>
        <sz val="10"/>
        <rFont val="Arial"/>
        <family val="2"/>
      </rPr>
      <t>CH4</t>
    </r>
    <r>
      <rPr>
        <b/>
        <sz val="10"/>
        <rFont val="Arial"/>
        <family val="2"/>
      </rPr>
      <t xml:space="preserve"> (MT)) = </t>
    </r>
  </si>
  <si>
    <r>
      <t xml:space="preserve">  tonnes CH</t>
    </r>
    <r>
      <rPr>
        <b/>
        <vertAlign val="subscript"/>
        <sz val="10"/>
        <rFont val="Arial"/>
        <family val="2"/>
      </rPr>
      <t>4</t>
    </r>
    <r>
      <rPr>
        <b/>
        <sz val="10"/>
        <rFont val="Arial"/>
        <family val="2"/>
      </rPr>
      <t xml:space="preserve"> year</t>
    </r>
    <r>
      <rPr>
        <b/>
        <vertAlign val="superscript"/>
        <sz val="10"/>
        <rFont val="Arial"/>
        <family val="2"/>
      </rPr>
      <t>-1</t>
    </r>
  </si>
  <si>
    <r>
      <t>CH</t>
    </r>
    <r>
      <rPr>
        <b/>
        <vertAlign val="subscript"/>
        <sz val="10"/>
        <rFont val="Arial"/>
        <family val="2"/>
      </rPr>
      <t xml:space="preserve">4,destroyed </t>
    </r>
    <r>
      <rPr>
        <b/>
        <sz val="10"/>
        <rFont val="Arial"/>
        <family val="2"/>
      </rPr>
      <t xml:space="preserve">(MT) = </t>
    </r>
  </si>
  <si>
    <t>Note: The Total Methane Reductions (below) will be equal to the lesser of the two values above.</t>
  </si>
  <si>
    <t xml:space="preserve">Total Methane Reductions (MT) = </t>
  </si>
  <si>
    <r>
      <t>Total Methane Reductions (CO</t>
    </r>
    <r>
      <rPr>
        <b/>
        <vertAlign val="subscript"/>
        <sz val="10"/>
        <rFont val="Arial"/>
        <family val="2"/>
      </rPr>
      <t>2</t>
    </r>
    <r>
      <rPr>
        <b/>
        <sz val="10"/>
        <rFont val="Arial"/>
        <family val="2"/>
      </rPr>
      <t xml:space="preserve">e) = </t>
    </r>
  </si>
  <si>
    <r>
      <t>II.D. Total Emission Reductions (CH</t>
    </r>
    <r>
      <rPr>
        <b/>
        <u/>
        <vertAlign val="subscript"/>
        <sz val="12"/>
        <rFont val="Arial"/>
        <family val="2"/>
      </rPr>
      <t>4</t>
    </r>
    <r>
      <rPr>
        <b/>
        <u/>
        <sz val="12"/>
        <rFont val="Arial"/>
        <family val="2"/>
      </rPr>
      <t xml:space="preserve"> and CO</t>
    </r>
    <r>
      <rPr>
        <b/>
        <u/>
        <vertAlign val="subscript"/>
        <sz val="12"/>
        <rFont val="Arial"/>
        <family val="2"/>
      </rPr>
      <t>2</t>
    </r>
    <r>
      <rPr>
        <b/>
        <u/>
        <sz val="12"/>
        <rFont val="Arial"/>
        <family val="2"/>
      </rPr>
      <t>) [Equation 5.1]</t>
    </r>
  </si>
  <si>
    <r>
      <t>Total Emission Reductions (MT CO</t>
    </r>
    <r>
      <rPr>
        <b/>
        <vertAlign val="subscript"/>
        <sz val="10"/>
        <rFont val="Arial"/>
        <family val="2"/>
      </rPr>
      <t>2</t>
    </r>
    <r>
      <rPr>
        <b/>
        <sz val="10"/>
        <rFont val="Arial"/>
        <family val="2"/>
      </rPr>
      <t xml:space="preserve">e/yr) = </t>
    </r>
  </si>
  <si>
    <t>User note/comments:</t>
  </si>
  <si>
    <t>Worksheet III:  Data Inputs for Baseline Emissions</t>
  </si>
  <si>
    <t>Bright Yellow</t>
  </si>
  <si>
    <t>Site specific values to be entered by user</t>
  </si>
  <si>
    <t>Automatically drawn from other cells</t>
  </si>
  <si>
    <t>Orange</t>
  </si>
  <si>
    <t>Default/lookup table values</t>
  </si>
  <si>
    <t>Gray</t>
  </si>
  <si>
    <t>Constants</t>
  </si>
  <si>
    <t>Pale Yellow</t>
  </si>
  <si>
    <t>User notes/comments</t>
  </si>
  <si>
    <t>III.A.  General Information</t>
  </si>
  <si>
    <t>Alabama</t>
  </si>
  <si>
    <t>Enter the site-specific information in the yellow fields below.</t>
  </si>
  <si>
    <t>Alaska</t>
  </si>
  <si>
    <t>Name of Farm Operator</t>
  </si>
  <si>
    <t>Note to User:</t>
  </si>
  <si>
    <t>Arizona</t>
  </si>
  <si>
    <t>State</t>
  </si>
  <si>
    <t>On a month-by-month basis, data must be input for the following parameters:</t>
  </si>
  <si>
    <t>Arkansas</t>
  </si>
  <si>
    <t>County</t>
  </si>
  <si>
    <t>1) Update the average monthly temperature -- Worksheet III, Section III.B.</t>
  </si>
  <si>
    <t>California</t>
  </si>
  <si>
    <t>Name of Person Completing Tool</t>
  </si>
  <si>
    <t>2) Update livestock population (and mass) -- Worksheet III, Section III.D</t>
  </si>
  <si>
    <t>Colorado</t>
  </si>
  <si>
    <t>OPO CITSS Account ID</t>
  </si>
  <si>
    <t>3) Update the methane captured and combusted by the BCS -- Worksheet IV, Section IV.A.</t>
  </si>
  <si>
    <t>Connecticut</t>
  </si>
  <si>
    <r>
      <t>Average Annual Temperature (</t>
    </r>
    <r>
      <rPr>
        <vertAlign val="superscript"/>
        <sz val="10"/>
        <rFont val="Arial"/>
        <family val="2"/>
      </rPr>
      <t>o</t>
    </r>
    <r>
      <rPr>
        <sz val="10"/>
        <rFont val="Arial"/>
        <family val="2"/>
      </rPr>
      <t>C)</t>
    </r>
  </si>
  <si>
    <t>Delaware</t>
  </si>
  <si>
    <t>Digester technology</t>
  </si>
  <si>
    <t>Other variables/parameters are inserted into this calculation tool just once a year, and some only once at the start of the project.</t>
  </si>
  <si>
    <t>Florida</t>
  </si>
  <si>
    <t xml:space="preserve">   -  If "Other", please enter BCE value</t>
  </si>
  <si>
    <t>Georgia</t>
  </si>
  <si>
    <t>Hawaii</t>
  </si>
  <si>
    <t>Reserve Project ID</t>
  </si>
  <si>
    <t>Idaho</t>
  </si>
  <si>
    <t>Reporting Period Start Date</t>
  </si>
  <si>
    <t>Illinois</t>
  </si>
  <si>
    <t>Reporting Period End Date</t>
  </si>
  <si>
    <t>During what month did the digester first receive eligible manure? (Leave blank if manure loading began prior to current year)</t>
  </si>
  <si>
    <t>Indiana</t>
  </si>
  <si>
    <t>Has VS from the prior year been carried over to the current year?</t>
  </si>
  <si>
    <t>Iowa</t>
  </si>
  <si>
    <t>Kansas</t>
  </si>
  <si>
    <t>III.B.  Average Monthly Temperatures</t>
  </si>
  <si>
    <t>Kentucky</t>
  </si>
  <si>
    <r>
      <t xml:space="preserve">Enter the average ambient temperatures for each month below. </t>
    </r>
    <r>
      <rPr>
        <sz val="10"/>
        <color indexed="10"/>
        <rFont val="Arial"/>
        <family val="2"/>
      </rPr>
      <t xml:space="preserve"> </t>
    </r>
    <r>
      <rPr>
        <b/>
        <sz val="10"/>
        <color indexed="10"/>
        <rFont val="Arial"/>
        <family val="2"/>
      </rPr>
      <t>Put a 1 in column D for each month included within the current reporting period</t>
    </r>
    <r>
      <rPr>
        <sz val="10"/>
        <color indexed="10"/>
        <rFont val="Arial"/>
        <family val="2"/>
      </rPr>
      <t xml:space="preserve">. </t>
    </r>
    <r>
      <rPr>
        <sz val="10"/>
        <rFont val="Arial"/>
        <family val="2"/>
      </rPr>
      <t xml:space="preserve">If the reporting period begins or ends with a fraction of a month, enter the specific number of non-reporting days for that month in column F. </t>
    </r>
    <r>
      <rPr>
        <i/>
        <sz val="10"/>
        <rFont val="Arial"/>
        <family val="2"/>
      </rPr>
      <t>Calendar days may be manually adjusted for leap years. If the project was out of regulatory compliance for any period of time, enter the appropriate number of days in column H (this will pro-rate the baseline emissions)</t>
    </r>
  </si>
  <si>
    <t>Louisiana</t>
  </si>
  <si>
    <t>Month (name)</t>
  </si>
  <si>
    <r>
      <t>Average Temperature (</t>
    </r>
    <r>
      <rPr>
        <b/>
        <vertAlign val="superscript"/>
        <sz val="10"/>
        <rFont val="Arial"/>
        <family val="2"/>
      </rPr>
      <t>o</t>
    </r>
    <r>
      <rPr>
        <b/>
        <sz val="10"/>
        <rFont val="Arial"/>
        <family val="2"/>
      </rPr>
      <t>C)</t>
    </r>
  </si>
  <si>
    <t>Reporting This Month?
(1 for yes, 0 for no)</t>
  </si>
  <si>
    <t>Calendar Days Per Month</t>
  </si>
  <si>
    <r>
      <t xml:space="preserve">Days Not Reported
</t>
    </r>
    <r>
      <rPr>
        <sz val="10"/>
        <color rgb="FFFF0000"/>
        <rFont val="Arial"/>
        <family val="2"/>
      </rPr>
      <t>(for start/end dates falling mid-month)</t>
    </r>
  </si>
  <si>
    <t>Reporting Days Per Month</t>
  </si>
  <si>
    <t>Days Out of Regulatory Compliance</t>
  </si>
  <si>
    <t>User Notes/comments</t>
  </si>
  <si>
    <t>Maine</t>
  </si>
  <si>
    <t>Maryland</t>
  </si>
  <si>
    <t>Massachusetts</t>
  </si>
  <si>
    <t>Michigan</t>
  </si>
  <si>
    <t>Minnesota</t>
  </si>
  <si>
    <t>Mississippi</t>
  </si>
  <si>
    <t>Missouri</t>
  </si>
  <si>
    <t>Montana</t>
  </si>
  <si>
    <t>Nebraska</t>
  </si>
  <si>
    <t>Nevada</t>
  </si>
  <si>
    <t>New Hampshire</t>
  </si>
  <si>
    <t>New Jersey</t>
  </si>
  <si>
    <t>New Mexico</t>
  </si>
  <si>
    <t>Total Calendar Days</t>
  </si>
  <si>
    <t>Total Reporting Days</t>
  </si>
  <si>
    <t>New York</t>
  </si>
  <si>
    <t>North Carolina</t>
  </si>
  <si>
    <t>III.C.  Livestock Categories</t>
  </si>
  <si>
    <t>North Dakota</t>
  </si>
  <si>
    <t>List the site-specific livestock categories and the corresponding average mass in the yellow fields below (See protocol guidance in Box 5.1).</t>
  </si>
  <si>
    <t>Ohio</t>
  </si>
  <si>
    <t>Livestock Category(s)</t>
  </si>
  <si>
    <t>Available Livestock Categories</t>
  </si>
  <si>
    <t>Oklahoma</t>
  </si>
  <si>
    <r>
      <t>Mass</t>
    </r>
    <r>
      <rPr>
        <b/>
        <vertAlign val="subscript"/>
        <sz val="10"/>
        <rFont val="Arial"/>
        <family val="2"/>
      </rPr>
      <t xml:space="preserve">L </t>
    </r>
    <r>
      <rPr>
        <b/>
        <sz val="10"/>
        <rFont val="Arial"/>
        <family val="2"/>
      </rPr>
      <t>(kg)</t>
    </r>
  </si>
  <si>
    <t>Dairy cows (on feed)</t>
  </si>
  <si>
    <t>Oregon</t>
  </si>
  <si>
    <t>Non-milking dairy cows (on feed)</t>
  </si>
  <si>
    <t>Pennsylvania</t>
  </si>
  <si>
    <t>Heifers (on feed)</t>
  </si>
  <si>
    <t>Rhode Island</t>
  </si>
  <si>
    <t>Bulls (grazing)</t>
  </si>
  <si>
    <t>South Carolina</t>
  </si>
  <si>
    <t>Calves (grazing)</t>
  </si>
  <si>
    <t>South Dakota</t>
  </si>
  <si>
    <t>Heifers (grazing)</t>
  </si>
  <si>
    <t>Tennessee</t>
  </si>
  <si>
    <t>Cows (grazing)</t>
  </si>
  <si>
    <t>Texas</t>
  </si>
  <si>
    <t>Nursery swine</t>
  </si>
  <si>
    <t>Utah</t>
  </si>
  <si>
    <t>Grow/finish swine</t>
  </si>
  <si>
    <t>Vermont</t>
  </si>
  <si>
    <t>Breeding swine</t>
  </si>
  <si>
    <t>Virginia</t>
  </si>
  <si>
    <t>Washington</t>
  </si>
  <si>
    <t>West Virginia</t>
  </si>
  <si>
    <t>User Notes/Comments:</t>
  </si>
  <si>
    <t>Wisconsin</t>
  </si>
  <si>
    <t>Wyoming</t>
  </si>
  <si>
    <t>III.D.  Livestock Population</t>
  </si>
  <si>
    <r>
      <t>Enter the monthly population for each livestock category listed below (P</t>
    </r>
    <r>
      <rPr>
        <vertAlign val="subscript"/>
        <sz val="10"/>
        <rFont val="Arial"/>
        <family val="2"/>
      </rPr>
      <t>L</t>
    </r>
    <r>
      <rPr>
        <sz val="10"/>
        <rFont val="Arial"/>
        <family val="2"/>
      </rPr>
      <t xml:space="preserve">). </t>
    </r>
  </si>
  <si>
    <t>Month</t>
  </si>
  <si>
    <t>Average Population for Reporting Period:</t>
  </si>
  <si>
    <t>III.E. Daily Volatile Solids for All Livestock Categories from Lookup Tables (Table A.1 and/or A.2)</t>
  </si>
  <si>
    <r>
      <t xml:space="preserve">Livestock Category </t>
    </r>
    <r>
      <rPr>
        <b/>
        <i/>
        <sz val="10"/>
        <rFont val="Arial"/>
        <family val="2"/>
      </rPr>
      <t>L</t>
    </r>
  </si>
  <si>
    <r>
      <t>VS</t>
    </r>
    <r>
      <rPr>
        <b/>
        <vertAlign val="subscript"/>
        <sz val="10"/>
        <rFont val="Arial"/>
        <family val="2"/>
      </rPr>
      <t xml:space="preserve">L
</t>
    </r>
    <r>
      <rPr>
        <b/>
        <sz val="10"/>
        <rFont val="Arial"/>
        <family val="2"/>
      </rPr>
      <t>(kg/day/1000 kg mass)</t>
    </r>
  </si>
  <si>
    <r>
      <t>VS</t>
    </r>
    <r>
      <rPr>
        <b/>
        <vertAlign val="subscript"/>
        <sz val="10"/>
        <rFont val="Arial"/>
        <family val="2"/>
      </rPr>
      <t xml:space="preserve">L
</t>
    </r>
    <r>
      <rPr>
        <b/>
        <sz val="10"/>
        <rFont val="Arial"/>
        <family val="2"/>
      </rPr>
      <t>(kg/animal/day)</t>
    </r>
  </si>
  <si>
    <t>III.F.  Maximum Methane Potential by Livestock Category</t>
  </si>
  <si>
    <r>
      <t>B</t>
    </r>
    <r>
      <rPr>
        <b/>
        <vertAlign val="subscript"/>
        <sz val="10"/>
        <rFont val="Arial"/>
        <family val="2"/>
      </rPr>
      <t xml:space="preserve">o,L
</t>
    </r>
    <r>
      <rPr>
        <b/>
        <sz val="10"/>
        <rFont val="Arial"/>
        <family val="2"/>
      </rPr>
      <t>(m</t>
    </r>
    <r>
      <rPr>
        <b/>
        <vertAlign val="superscript"/>
        <sz val="10"/>
        <rFont val="Arial"/>
        <family val="2"/>
      </rPr>
      <t>3</t>
    </r>
    <r>
      <rPr>
        <b/>
        <sz val="10"/>
        <rFont val="Arial"/>
        <family val="2"/>
      </rPr>
      <t xml:space="preserve"> CH</t>
    </r>
    <r>
      <rPr>
        <b/>
        <vertAlign val="subscript"/>
        <sz val="10"/>
        <rFont val="Arial"/>
        <family val="2"/>
      </rPr>
      <t>4</t>
    </r>
    <r>
      <rPr>
        <b/>
        <sz val="10"/>
        <rFont val="Arial"/>
        <family val="2"/>
      </rPr>
      <t>/kg VS dry matter)</t>
    </r>
  </si>
  <si>
    <t>III.G.  Manure Storage and Treatment Systems for the Baseline Calculation. What Systems Were in Place Pre-Project?</t>
  </si>
  <si>
    <t>Enter the on-site storage and/or treatment systems in the yellow fields.  Refer to Worksheet XIV, Table A.5 for the storage/treatment component system descriptions.</t>
  </si>
  <si>
    <t>Anaerobic Storage/Treatment System(s)</t>
  </si>
  <si>
    <t>Other Storage/Treatment Systems</t>
  </si>
  <si>
    <t>List of Manure Management Storage/Treatment Systems</t>
  </si>
  <si>
    <t>Uncovered anaerobic lagoon</t>
  </si>
  <si>
    <t>Anaerobic</t>
  </si>
  <si>
    <t>Non-anaerobic (Other)</t>
  </si>
  <si>
    <t>Pasture/Range/Paddock</t>
  </si>
  <si>
    <t>Liquid/Slurry uncovered</t>
  </si>
  <si>
    <t>Daily spread</t>
  </si>
  <si>
    <t>Liquid/Slurry w/natural crust cover</t>
  </si>
  <si>
    <t>Solid storage</t>
  </si>
  <si>
    <t>Dry lot</t>
  </si>
  <si>
    <t>Pit storage below animal confinements (&lt;1 month)</t>
  </si>
  <si>
    <t>Pit storage below animal confinements (&gt;1 month)</t>
  </si>
  <si>
    <t>Cattle and Swine deep bedding (&lt;1 month)</t>
  </si>
  <si>
    <t>Cattle and Swine deep bedding (&gt;1 month)</t>
  </si>
  <si>
    <t>Composting - in-vessel or static pile</t>
  </si>
  <si>
    <t>Composting - passive or intensive windrow</t>
  </si>
  <si>
    <t>Aerobic treatment</t>
  </si>
  <si>
    <t>Burned for fuel</t>
  </si>
  <si>
    <t>III.H.  How Frequently is the Anaerobic Storage/Treatment System Completely Emptied and Cleaned of Sludge in the Baseline Scenario (Per Year), and Typically During Which Month(s)?</t>
  </si>
  <si>
    <t>Column G of Worksheet V will be automatically zeroed-out following all months in which the anaerobic system is completely drained and accumulated sludge is removed.</t>
  </si>
  <si>
    <t>Retention Time Less than 30 days?</t>
  </si>
  <si>
    <t>Number of Times Per Year Drained with Sludge Removal</t>
  </si>
  <si>
    <t>1st Month System Emptied and Cleaned</t>
  </si>
  <si>
    <t>2nd Month System Emptied and Cleaned</t>
  </si>
  <si>
    <t>3rd Month System Emptied and Cleaned</t>
  </si>
  <si>
    <t>No</t>
  </si>
  <si>
    <t>Yes</t>
  </si>
  <si>
    <t xml:space="preserve">III.I.  Methane Conversion Factor (MCF) for "Other Storage/Treatment Systems" </t>
  </si>
  <si>
    <t>Enter the MCF value for the non-lagoon and storage pond system components.  Refer to Worksheet XIV, Table A.5, for the default methane conversion factors by manure management system components and yearly average temperature  storage components. Categories that are not applicable should be left blank.</t>
  </si>
  <si>
    <t>MCF (fraction)</t>
  </si>
  <si>
    <r>
      <t>III.J.  Fraction of Manure from Livestock Category L that is Stored/Treated in System S (MS</t>
    </r>
    <r>
      <rPr>
        <b/>
        <vertAlign val="subscript"/>
        <sz val="12"/>
        <rFont val="Arial"/>
        <family val="2"/>
      </rPr>
      <t>l,s</t>
    </r>
    <r>
      <rPr>
        <b/>
        <sz val="12"/>
        <rFont val="Arial"/>
        <family val="2"/>
      </rPr>
      <t>) for the Baseline Calculation. Where Did the Manure Go Pre-Project?</t>
    </r>
  </si>
  <si>
    <t>Anaerobic Storage/Treatment System</t>
  </si>
  <si>
    <t>Non-Anaerobic Storage/Treatment System</t>
  </si>
  <si>
    <t>III.K. Baseline Carbon Dioxide Emissions Inputs [Protocol - Equation 5.11] Calculated in Worksheet XIII</t>
  </si>
  <si>
    <r>
      <t>III.K.i. Baseline Carbon Dioxide Emission Inputs for Mobile Fossil Fuel Combustion: CO</t>
    </r>
    <r>
      <rPr>
        <b/>
        <vertAlign val="subscript"/>
        <sz val="10"/>
        <rFont val="Arial"/>
        <family val="2"/>
      </rPr>
      <t>2,MSC</t>
    </r>
  </si>
  <si>
    <r>
      <t>Enter the source, fuel type, annual fuel quantity (QF), and fuel-specific emission factors (EF</t>
    </r>
    <r>
      <rPr>
        <vertAlign val="subscript"/>
        <sz val="10"/>
        <rFont val="Arial"/>
        <family val="2"/>
      </rPr>
      <t>C02</t>
    </r>
    <r>
      <rPr>
        <sz val="10"/>
        <rFont val="Arial"/>
        <family val="2"/>
      </rPr>
      <t>) for all pre-project (baseline) mobile, on-site combustion sources. Refer to Worksheet XIV, Table A.7 for the default EF</t>
    </r>
    <r>
      <rPr>
        <vertAlign val="subscript"/>
        <sz val="10"/>
        <rFont val="Arial"/>
        <family val="2"/>
      </rPr>
      <t>C02</t>
    </r>
    <r>
      <rPr>
        <sz val="10"/>
        <rFont val="Arial"/>
        <family val="2"/>
      </rPr>
      <t xml:space="preserve"> values for mobile sources.</t>
    </r>
  </si>
  <si>
    <t>Mobile Source</t>
  </si>
  <si>
    <t>Common Fuel Types (c)</t>
  </si>
  <si>
    <r>
      <t>QF</t>
    </r>
    <r>
      <rPr>
        <b/>
        <vertAlign val="subscript"/>
        <sz val="10"/>
        <rFont val="Arial"/>
        <family val="2"/>
      </rPr>
      <t xml:space="preserve">c </t>
    </r>
    <r>
      <rPr>
        <b/>
        <sz val="10"/>
        <rFont val="Arial"/>
        <family val="2"/>
      </rPr>
      <t>(gallon/yr)</t>
    </r>
  </si>
  <si>
    <r>
      <t>EF</t>
    </r>
    <r>
      <rPr>
        <b/>
        <vertAlign val="subscript"/>
        <sz val="10"/>
        <rFont val="Arial"/>
        <family val="2"/>
      </rPr>
      <t xml:space="preserve">CO2,f </t>
    </r>
    <r>
      <rPr>
        <b/>
        <sz val="10"/>
        <rFont val="Arial"/>
        <family val="2"/>
      </rPr>
      <t>(kgCO</t>
    </r>
    <r>
      <rPr>
        <b/>
        <vertAlign val="subscript"/>
        <sz val="10"/>
        <rFont val="Arial"/>
        <family val="2"/>
      </rPr>
      <t>2</t>
    </r>
    <r>
      <rPr>
        <b/>
        <sz val="10"/>
        <rFont val="Arial"/>
        <family val="2"/>
      </rPr>
      <t>/gallon)</t>
    </r>
  </si>
  <si>
    <t>Common Fuel Types</t>
  </si>
  <si>
    <t>Motor Gasoline</t>
  </si>
  <si>
    <t>Distillate Fuel Oil No. 2 (Diesel)</t>
  </si>
  <si>
    <t xml:space="preserve">Propane </t>
  </si>
  <si>
    <t>Natural Gas (Weighted U.S. Average)</t>
  </si>
  <si>
    <t>Other Fuel Types (c)</t>
  </si>
  <si>
    <t>Kerosene</t>
  </si>
  <si>
    <t>LPG (average for fuel use)</t>
  </si>
  <si>
    <r>
      <t>III.K.ii.  Baseline Carbon Dioxide Emission Inputs for Stationary Fossil Fuel Combustion: CO</t>
    </r>
    <r>
      <rPr>
        <b/>
        <vertAlign val="subscript"/>
        <sz val="10"/>
        <rFont val="Arial"/>
        <family val="2"/>
      </rPr>
      <t>2,MSC</t>
    </r>
  </si>
  <si>
    <r>
      <t>Enter the source, fuel type, annual fuel quantity, and fuel-specific emission factors for all pre-project (baseline) stationary, on-site combustion sources. Refer to Worksheet XIV, Table A.7 for the default EF</t>
    </r>
    <r>
      <rPr>
        <vertAlign val="subscript"/>
        <sz val="10"/>
        <rFont val="Arial"/>
        <family val="2"/>
      </rPr>
      <t>C02</t>
    </r>
    <r>
      <rPr>
        <sz val="10"/>
        <rFont val="Arial"/>
        <family val="2"/>
      </rPr>
      <t xml:space="preserve"> values for stationary sources.</t>
    </r>
  </si>
  <si>
    <t>Stationary Source</t>
  </si>
  <si>
    <r>
      <t>QF</t>
    </r>
    <r>
      <rPr>
        <b/>
        <vertAlign val="subscript"/>
        <sz val="10"/>
        <rFont val="Arial"/>
        <family val="2"/>
      </rPr>
      <t xml:space="preserve">c </t>
    </r>
    <r>
      <rPr>
        <b/>
        <sz val="10"/>
        <rFont val="Arial"/>
        <family val="2"/>
      </rPr>
      <t>(MMBTU/yr)</t>
    </r>
  </si>
  <si>
    <r>
      <t>EF</t>
    </r>
    <r>
      <rPr>
        <b/>
        <vertAlign val="subscript"/>
        <sz val="10"/>
        <rFont val="Arial"/>
        <family val="2"/>
      </rPr>
      <t xml:space="preserve">CO2,f </t>
    </r>
    <r>
      <rPr>
        <b/>
        <sz val="10"/>
        <rFont val="Arial"/>
        <family val="2"/>
      </rPr>
      <t>(kgCO</t>
    </r>
    <r>
      <rPr>
        <b/>
        <vertAlign val="subscript"/>
        <sz val="10"/>
        <rFont val="Arial"/>
        <family val="2"/>
      </rPr>
      <t>2</t>
    </r>
    <r>
      <rPr>
        <b/>
        <sz val="10"/>
        <rFont val="Arial"/>
        <family val="2"/>
      </rPr>
      <t>/MMBTU)</t>
    </r>
  </si>
  <si>
    <t>Other Fuel Types(c)</t>
  </si>
  <si>
    <r>
      <t>III.K.iii.  Baseline Carbon Dioxide Emission Inputs for Electricity Usage: CO</t>
    </r>
    <r>
      <rPr>
        <b/>
        <vertAlign val="subscript"/>
        <sz val="10"/>
        <rFont val="Arial"/>
        <family val="2"/>
      </rPr>
      <t>2,MSC</t>
    </r>
  </si>
  <si>
    <t>Enter the amount of electricity consumed in the baseline scenario only for sources directly affected by the project activity.  Leave blank if there are no relevant sources of electricity consumption.</t>
  </si>
  <si>
    <t>eGRID Subregions</t>
  </si>
  <si>
    <t>eGRID Subregion</t>
  </si>
  <si>
    <t>eGRID Edition</t>
  </si>
  <si>
    <r>
      <t>QE</t>
    </r>
    <r>
      <rPr>
        <b/>
        <vertAlign val="subscript"/>
        <sz val="10"/>
        <rFont val="Arial"/>
        <family val="2"/>
      </rPr>
      <t>c</t>
    </r>
    <r>
      <rPr>
        <b/>
        <sz val="10"/>
        <rFont val="Arial"/>
        <family val="2"/>
      </rPr>
      <t xml:space="preserve"> (MWh/yr)</t>
    </r>
  </si>
  <si>
    <r>
      <t>EF</t>
    </r>
    <r>
      <rPr>
        <b/>
        <vertAlign val="subscript"/>
        <sz val="10"/>
        <rFont val="Arial"/>
        <family val="2"/>
      </rPr>
      <t>CO2e</t>
    </r>
    <r>
      <rPr>
        <b/>
        <sz val="10"/>
        <rFont val="Arial"/>
        <family val="2"/>
      </rPr>
      <t xml:space="preserve"> (lbCO</t>
    </r>
    <r>
      <rPr>
        <b/>
        <vertAlign val="subscript"/>
        <sz val="10"/>
        <rFont val="Arial"/>
        <family val="2"/>
      </rPr>
      <t>2</t>
    </r>
    <r>
      <rPr>
        <b/>
        <sz val="10"/>
        <rFont val="Arial"/>
        <family val="2"/>
      </rPr>
      <t>e/MWh)</t>
    </r>
  </si>
  <si>
    <t>ASCC Alaska Grid</t>
  </si>
  <si>
    <t>9th</t>
  </si>
  <si>
    <t>ASCC Miscellaneous</t>
  </si>
  <si>
    <t>WECC Southwest</t>
  </si>
  <si>
    <t>WECC California</t>
  </si>
  <si>
    <t>ERCOT All</t>
  </si>
  <si>
    <t>FRCC All</t>
  </si>
  <si>
    <t>HICC Miscellaneous</t>
  </si>
  <si>
    <t>HICC Oahu</t>
  </si>
  <si>
    <t>MRO East</t>
  </si>
  <si>
    <t>MRO West</t>
  </si>
  <si>
    <t>NPCC New England</t>
  </si>
  <si>
    <t>WECC Northwest</t>
  </si>
  <si>
    <t>NPCC NYC/Westchester</t>
  </si>
  <si>
    <t>NPCC Long Island</t>
  </si>
  <si>
    <t>NPCC Upstate NY</t>
  </si>
  <si>
    <t>RFC East</t>
  </si>
  <si>
    <t>RFC Michigan</t>
  </si>
  <si>
    <t>RFC West</t>
  </si>
  <si>
    <t>WECC Rockies</t>
  </si>
  <si>
    <t>SPP North</t>
  </si>
  <si>
    <t>SPP South</t>
  </si>
  <si>
    <t>SERC Mississippi Valley</t>
  </si>
  <si>
    <t>SERC Midwest</t>
  </si>
  <si>
    <t>SERC South</t>
  </si>
  <si>
    <t>SERC Tennessee Valley</t>
  </si>
  <si>
    <t>SERC Virginia/Carolina</t>
  </si>
  <si>
    <t>Worksheet IV:  Data Inputs for Project Emissions</t>
  </si>
  <si>
    <t>Yellow</t>
  </si>
  <si>
    <t>IV.A.  Biogas Control System Inputs [Protocol - Equation 5.6] Calculated in Worksheet VIII</t>
  </si>
  <si>
    <r>
      <t xml:space="preserve">To ensure that the Biogas control system data is input correctly, </t>
    </r>
    <r>
      <rPr>
        <b/>
        <u/>
        <sz val="10"/>
        <rFont val="Arial"/>
        <family val="2"/>
      </rPr>
      <t>carefully</t>
    </r>
    <r>
      <rPr>
        <b/>
        <sz val="10"/>
        <rFont val="Arial"/>
        <family val="2"/>
      </rPr>
      <t xml:space="preserve"> complete the sections below as instructed.</t>
    </r>
  </si>
  <si>
    <t>IV.A.i:  Monthly Collection Efficiency and Methane Destruction Efficiency</t>
  </si>
  <si>
    <t xml:space="preserve"> </t>
  </si>
  <si>
    <t>Enter biogas collection efficiency (BCE) and the monthly methane destruction efficiency (BDE)  as decimals.</t>
  </si>
  <si>
    <t>BCE (fraction)</t>
  </si>
  <si>
    <r>
      <t>BDE (fraction)</t>
    </r>
    <r>
      <rPr>
        <b/>
        <sz val="10"/>
        <color indexed="10"/>
        <rFont val="Arial"/>
        <family val="2"/>
      </rPr>
      <t>*</t>
    </r>
  </si>
  <si>
    <r>
      <t xml:space="preserve">* </t>
    </r>
    <r>
      <rPr>
        <sz val="10"/>
        <rFont val="Arial"/>
        <family val="2"/>
      </rPr>
      <t>Important guidance for determining monthly BDE:  The monthly BDE value input in column D above should be the monthly weighted average of all combustion devices in operation during the month (see Equation 5.6 for guidance).  Additionally, in the event that the combustion device(s) is inoperable for a period during the month, the monthly average BDE should be adjusted accordingly (see the Compliance Offset Protocol, Section 6 Offset Project Documentation and Monitoring Requirements, for guidance).  Describe any adjustments made in the comment box on the right.</t>
    </r>
  </si>
  <si>
    <t>IV.A.ii:  Metering System</t>
  </si>
  <si>
    <t>Enter the appropriate response in cell D35 then follow the directions below.</t>
  </si>
  <si>
    <t>Does your monitoring system continuously monitor methane concentration? Select Yes or No in cell D35.</t>
  </si>
  <si>
    <t>If yes, skip to IV.A.iv of this section.  If no, complete only IV.A.iii.</t>
  </si>
  <si>
    <t>IV.A.iii  Data Input for Continuous Flow Data with Periodic Methane Concentration Measurements</t>
  </si>
  <si>
    <t>Answer the question below and enter the appropriate response in cell D42.  Then enter the monthly data in the table below.</t>
  </si>
  <si>
    <r>
      <t xml:space="preserve">Does the continuous flow meter internally correct the temperature and pressure of the biogas readings to </t>
    </r>
    <r>
      <rPr>
        <b/>
        <sz val="10"/>
        <color indexed="10"/>
        <rFont val="Arial"/>
        <family val="2"/>
      </rPr>
      <t xml:space="preserve">60°F </t>
    </r>
    <r>
      <rPr>
        <sz val="10"/>
        <color indexed="10"/>
        <rFont val="Arial"/>
        <family val="2"/>
      </rPr>
      <t>and</t>
    </r>
    <r>
      <rPr>
        <b/>
        <sz val="10"/>
        <color indexed="10"/>
        <rFont val="Arial"/>
        <family val="2"/>
      </rPr>
      <t xml:space="preserve"> 1 atm</t>
    </r>
    <r>
      <rPr>
        <sz val="10"/>
        <color indexed="10"/>
        <rFont val="Arial"/>
        <family val="2"/>
      </rPr>
      <t>? Select Yes or No in cell D42.</t>
    </r>
  </si>
  <si>
    <r>
      <rPr>
        <sz val="10"/>
        <color indexed="10"/>
        <rFont val="Arial"/>
        <family val="2"/>
      </rPr>
      <t xml:space="preserve">If your meter internally corrects to different values, use the values of your meter to fill in columns C and D below. </t>
    </r>
    <r>
      <rPr>
        <b/>
        <sz val="10"/>
        <color indexed="10"/>
        <rFont val="Arial"/>
        <family val="2"/>
      </rPr>
      <t>The F (scf/month) and CH</t>
    </r>
    <r>
      <rPr>
        <b/>
        <vertAlign val="subscript"/>
        <sz val="10"/>
        <color indexed="10"/>
        <rFont val="Arial"/>
        <family val="2"/>
      </rPr>
      <t>4,conc</t>
    </r>
    <r>
      <rPr>
        <b/>
        <sz val="10"/>
        <color indexed="10"/>
        <rFont val="Arial"/>
        <family val="2"/>
      </rPr>
      <t xml:space="preserve"> (%) data must be filled in for both scenarios.</t>
    </r>
  </si>
  <si>
    <r>
      <t>Temperature  (</t>
    </r>
    <r>
      <rPr>
        <b/>
        <vertAlign val="superscript"/>
        <sz val="10"/>
        <rFont val="Arial"/>
        <family val="2"/>
      </rPr>
      <t>o</t>
    </r>
    <r>
      <rPr>
        <b/>
        <sz val="10"/>
        <rFont val="Arial"/>
        <family val="2"/>
      </rPr>
      <t>R)*</t>
    </r>
  </si>
  <si>
    <t>Pressure (atm)</t>
  </si>
  <si>
    <t>F (scf/month)</t>
  </si>
  <si>
    <r>
      <t>CH</t>
    </r>
    <r>
      <rPr>
        <b/>
        <vertAlign val="subscript"/>
        <sz val="10"/>
        <rFont val="Arial"/>
        <family val="2"/>
      </rPr>
      <t>4,conc</t>
    </r>
    <r>
      <rPr>
        <b/>
        <sz val="10"/>
        <rFont val="Arial"/>
        <family val="2"/>
      </rPr>
      <t xml:space="preserve"> (fraction)</t>
    </r>
  </si>
  <si>
    <r>
      <t xml:space="preserve">* </t>
    </r>
    <r>
      <rPr>
        <vertAlign val="superscript"/>
        <sz val="10"/>
        <rFont val="Arial"/>
        <family val="2"/>
      </rPr>
      <t>o</t>
    </r>
    <r>
      <rPr>
        <sz val="10"/>
        <rFont val="Arial"/>
        <family val="2"/>
      </rPr>
      <t xml:space="preserve">R = Rankine = </t>
    </r>
    <r>
      <rPr>
        <vertAlign val="superscript"/>
        <sz val="10"/>
        <rFont val="Arial"/>
        <family val="2"/>
      </rPr>
      <t>o</t>
    </r>
    <r>
      <rPr>
        <sz val="10"/>
        <rFont val="Arial"/>
        <family val="2"/>
      </rPr>
      <t>F + 459.67</t>
    </r>
  </si>
  <si>
    <t>IV.A.iv:  Data Inputs for Continuous Flow and Continuous Methane Concentration (Totalizer) Metering</t>
  </si>
  <si>
    <t>This section should be completed only if a "Yes" was entered in cell D35.  If a "No" was entered in cell D35, complete section IV.A.iii only.</t>
  </si>
  <si>
    <r>
      <t>If the flow and methane concentration are continuously metered (see section IV.A.ii), aggregate the monthly metered methane (CH</t>
    </r>
    <r>
      <rPr>
        <vertAlign val="subscript"/>
        <sz val="10"/>
        <rFont val="Arial"/>
        <family val="2"/>
      </rPr>
      <t>4,meter</t>
    </r>
    <r>
      <rPr>
        <sz val="10"/>
        <rFont val="Arial"/>
        <family val="2"/>
      </rPr>
      <t>) per Equation 5.6 and enter the monthly values below.</t>
    </r>
  </si>
  <si>
    <r>
      <t>CH</t>
    </r>
    <r>
      <rPr>
        <b/>
        <vertAlign val="subscript"/>
        <sz val="10"/>
        <rFont val="Arial"/>
        <family val="2"/>
      </rPr>
      <t>4,meter</t>
    </r>
    <r>
      <rPr>
        <b/>
        <sz val="10"/>
        <rFont val="Arial"/>
        <family val="2"/>
      </rPr>
      <t>(tCH</t>
    </r>
    <r>
      <rPr>
        <b/>
        <vertAlign val="subscript"/>
        <sz val="10"/>
        <rFont val="Arial"/>
        <family val="2"/>
      </rPr>
      <t>4</t>
    </r>
    <r>
      <rPr>
        <b/>
        <sz val="10"/>
        <rFont val="Arial"/>
        <family val="2"/>
      </rPr>
      <t>/month)</t>
    </r>
  </si>
  <si>
    <t>IV.B.  Input for Project Methane Emissions from Venting Events [Equation 5.6] Calculated in Worksheet IX</t>
  </si>
  <si>
    <t>"t" represents the number of days of the month that biogas is venting uncontrolled from the BCS system (can be a fraction).</t>
  </si>
  <si>
    <r>
      <t>MS</t>
    </r>
    <r>
      <rPr>
        <b/>
        <vertAlign val="subscript"/>
        <sz val="10"/>
        <rFont val="Arial"/>
        <family val="2"/>
      </rPr>
      <t>BCS</t>
    </r>
    <r>
      <rPr>
        <b/>
        <sz val="10"/>
        <rFont val="Arial"/>
        <family val="2"/>
      </rPr>
      <t xml:space="preserve"> (scf)</t>
    </r>
  </si>
  <si>
    <r>
      <t>F</t>
    </r>
    <r>
      <rPr>
        <b/>
        <vertAlign val="subscript"/>
        <sz val="10"/>
        <rFont val="Arial"/>
        <family val="2"/>
      </rPr>
      <t>pw</t>
    </r>
    <r>
      <rPr>
        <b/>
        <sz val="10"/>
        <rFont val="Arial"/>
        <family val="2"/>
      </rPr>
      <t xml:space="preserve"> (scf/day)</t>
    </r>
  </si>
  <si>
    <t>t (days)</t>
  </si>
  <si>
    <t>IV.C.  Input for Project Methane Emissions from the BCS Effluent Pond [Protocol - Equation 5.8] Calculated in Worksheet X</t>
  </si>
  <si>
    <r>
      <t>The VS</t>
    </r>
    <r>
      <rPr>
        <vertAlign val="subscript"/>
        <sz val="10"/>
        <rFont val="Arial"/>
        <family val="2"/>
      </rPr>
      <t>ep</t>
    </r>
    <r>
      <rPr>
        <sz val="10"/>
        <rFont val="Arial"/>
        <family val="2"/>
      </rPr>
      <t xml:space="preserve"> value is automatically calculated based on the total VS produced for each livestock category (kg/animal/day), the population size, and the fraction of the manure from each livestock category that is managed in the digester (entered in column E below).  This total VS input is then multiplied by 30% to get an estimate  of the VS remaining in the digester effluent.</t>
    </r>
  </si>
  <si>
    <t>Livestock Category L</t>
  </si>
  <si>
    <t>Average Population</t>
  </si>
  <si>
    <r>
      <t>VS</t>
    </r>
    <r>
      <rPr>
        <b/>
        <vertAlign val="subscript"/>
        <sz val="10"/>
        <rFont val="Arial"/>
        <family val="2"/>
      </rPr>
      <t xml:space="preserve">L </t>
    </r>
    <r>
      <rPr>
        <b/>
        <sz val="10"/>
        <rFont val="Arial"/>
        <family val="2"/>
      </rPr>
      <t>(kg/animal/day)</t>
    </r>
  </si>
  <si>
    <r>
      <t>B</t>
    </r>
    <r>
      <rPr>
        <b/>
        <vertAlign val="subscript"/>
        <sz val="10"/>
        <rFont val="Arial"/>
        <family val="2"/>
      </rPr>
      <t>0,ep</t>
    </r>
    <r>
      <rPr>
        <b/>
        <sz val="10"/>
        <rFont val="Arial"/>
        <family val="2"/>
      </rPr>
      <t xml:space="preserve"> (m</t>
    </r>
    <r>
      <rPr>
        <b/>
        <vertAlign val="superscript"/>
        <sz val="10"/>
        <rFont val="Arial"/>
        <family val="2"/>
      </rPr>
      <t>3</t>
    </r>
    <r>
      <rPr>
        <b/>
        <sz val="10"/>
        <rFont val="Arial"/>
        <family val="2"/>
      </rPr>
      <t>CH</t>
    </r>
    <r>
      <rPr>
        <b/>
        <vertAlign val="subscript"/>
        <sz val="10"/>
        <rFont val="Arial"/>
        <family val="2"/>
      </rPr>
      <t>4</t>
    </r>
    <r>
      <rPr>
        <b/>
        <sz val="10"/>
        <rFont val="Arial"/>
        <family val="2"/>
      </rPr>
      <t>/kg of VS)</t>
    </r>
  </si>
  <si>
    <r>
      <t>MS</t>
    </r>
    <r>
      <rPr>
        <b/>
        <vertAlign val="subscript"/>
        <sz val="10"/>
        <rFont val="Arial"/>
        <family val="2"/>
      </rPr>
      <t>L,BCS</t>
    </r>
  </si>
  <si>
    <r>
      <t>VS</t>
    </r>
    <r>
      <rPr>
        <b/>
        <vertAlign val="subscript"/>
        <sz val="10"/>
        <rFont val="Arial"/>
        <family val="2"/>
      </rPr>
      <t>ep,L</t>
    </r>
  </si>
  <si>
    <r>
      <t>Total VS</t>
    </r>
    <r>
      <rPr>
        <b/>
        <vertAlign val="subscript"/>
        <sz val="10"/>
        <rFont val="Arial"/>
        <family val="2"/>
      </rPr>
      <t>ep</t>
    </r>
    <r>
      <rPr>
        <b/>
        <sz val="10"/>
        <rFont val="Arial"/>
        <family val="2"/>
      </rPr>
      <t xml:space="preserve"> = </t>
    </r>
  </si>
  <si>
    <r>
      <t>MCF</t>
    </r>
    <r>
      <rPr>
        <b/>
        <vertAlign val="subscript"/>
        <sz val="10"/>
        <rFont val="Arial"/>
        <family val="2"/>
      </rPr>
      <t>ep</t>
    </r>
    <r>
      <rPr>
        <b/>
        <sz val="10"/>
        <rFont val="Arial"/>
        <family val="2"/>
      </rPr>
      <t xml:space="preserve"> (fraction)</t>
    </r>
    <r>
      <rPr>
        <b/>
        <vertAlign val="superscript"/>
        <sz val="10"/>
        <rFont val="Arial"/>
        <family val="2"/>
      </rPr>
      <t>1</t>
    </r>
  </si>
  <si>
    <t>Default value
(liquid slurry)</t>
  </si>
  <si>
    <t>User-defined alternative value</t>
  </si>
  <si>
    <r>
      <t xml:space="preserve">1 </t>
    </r>
    <r>
      <rPr>
        <sz val="10"/>
        <rFont val="Arial"/>
        <family val="2"/>
      </rPr>
      <t>The default MCF value corresponds to an uncovered liquid slurry storage system (based on annual average temperature). The user may define an alternative value in the adjacent cell to override this default if the project manages effluent in any way other than an effluent pond. If using a justified alternative value, briefly describe how this value was produced in the comment box on the right.</t>
    </r>
  </si>
  <si>
    <t>IV.D.  Manure Storage and Treatment System Components Other Than the BCS System, Post-Project [Protocol - Equation 5.9]</t>
  </si>
  <si>
    <t xml:space="preserve">Enter the on-site storage/treatment systems in use other than the BCS system/effluent pond in the yellow fields.  Refer to Worksheet XIV, Table A.5 for the system definitions.  Storage/treatment system categories that are not applicable should be left blank.  Enter the MCF value for the non-lagoon and storage pond systems.  Refer to Worksheet XIV, Table A.5, for the default methane conversion factors by manure management systems.  Storage system categories that are not applicable should be left blank. </t>
  </si>
  <si>
    <t>Anaerobic Storage/Treatment Systems</t>
  </si>
  <si>
    <t>MCF for Other Anaerobic Treatment Systems (fraction)</t>
  </si>
  <si>
    <t>Manure Management Storage/Treatment Systems</t>
  </si>
  <si>
    <t>Non-Anaerobic (Other)</t>
  </si>
  <si>
    <t>MCF for Other Non-Anaerobic Treatment Systems (fraction)</t>
  </si>
  <si>
    <t>IV.E.  Fraction of Manure from Livestock Category L that is Stored/Treated in Any Other Storage System S (MSl,s) for the Project Calculation, Other than BCS + Effluent Pond</t>
  </si>
  <si>
    <t>Enter the fraction (decimal format) of manure from each livestock category that is stored or treated in each system, if applicable.  Storage systems and livestock categories that are not applicable should be left blank.</t>
  </si>
  <si>
    <t>IV.F.  Does the Fraction of Manure Handled by the Storage/Treatment System(s) Change Monthly or Seasonally?</t>
  </si>
  <si>
    <t>If yes, adjust Section IV.E. accordingly.</t>
  </si>
  <si>
    <t>IV.G.  Project Carbon Dioxide Emission Inputs [Protocol - Equation 5.11] Calculated in Worksheet XIII</t>
  </si>
  <si>
    <t>IV.G.i.  Project Carbon Dioxide Emission Inputs for Mobile Fossil Fuel Combustion: CO2(MSC)</t>
  </si>
  <si>
    <t>Enter the mobile source, fuel type, annual fuel quantity (QF), and fuel-specific emission factors (EFCO2) for all project, on-site mobile combustion sources. Refer to Worksheet XIV, Table A.7 for the default EFC02 values for mobile sources.</t>
  </si>
  <si>
    <t>IV.G.ii.  Project Carbon Dioxide Emission Inputs for Stationary Fossil Fuel Combustion: CO2(MSC)</t>
  </si>
  <si>
    <t>Enter the source, fuel type, annual fuel quantity (QF), and fuel-specific emission factors (EFCO2) for all project, stationary combustion sources. Refer to Worksheet XIV, Table XIV.E for the default EFC02 values for stationary sources.</t>
  </si>
  <si>
    <t>IV.G.iii.  Project Carbon Dioxide Emission Inputs for Electricity Consumption: CO2,MSC</t>
  </si>
  <si>
    <t>Enter the amount of electricity consumed by equipment directly related to project activities.  Enter 0 if there are no relevant sources of electricity consumption.  As of May 3, 2011, projects should no longer refer to the eGRID tables in Appendix B of the protocol, but should instead refer to the U.S. EPA website and use the emission factor from the year that that the electricity was consumed (or the most current factor if the reporting year's factors have not been released).  Projects shall use the annual total output emission rates for the subregion where the project is located, not the annual non-baseload output emission rates.</t>
  </si>
  <si>
    <r>
      <t>EF</t>
    </r>
    <r>
      <rPr>
        <b/>
        <vertAlign val="subscript"/>
        <sz val="10"/>
        <rFont val="Arial"/>
        <family val="2"/>
      </rPr>
      <t>CO2,e</t>
    </r>
    <r>
      <rPr>
        <b/>
        <sz val="10"/>
        <rFont val="Arial"/>
        <family val="2"/>
      </rPr>
      <t xml:space="preserve"> (lbCO</t>
    </r>
    <r>
      <rPr>
        <b/>
        <vertAlign val="subscript"/>
        <sz val="10"/>
        <rFont val="Arial"/>
        <family val="2"/>
      </rPr>
      <t>2</t>
    </r>
    <r>
      <rPr>
        <b/>
        <sz val="10"/>
        <rFont val="Arial"/>
        <family val="2"/>
      </rPr>
      <t>e/MWh)</t>
    </r>
  </si>
  <si>
    <t>Updated eGRID information is available here: http://www.epa.gov/cleanenergy/energy-resources/egrid/index.html</t>
  </si>
  <si>
    <t>Identify your eGRID subregion here: http://www.epa.gov/cleanenergy/energy-and-you/how-clean.html</t>
  </si>
  <si>
    <t>IV.G.iv. Electricity Generated by the Project</t>
  </si>
  <si>
    <t>If total electricity being generated by project activities is greater than or equal to the additional electricity consumption in the project scenario, then Qec shall not be accounted for in the project emissions and shall be omitted from Equation 5.11 on Worksheet XIII.A.iv and XIII.B.v.  This comparison and calculation adjustment occurs automatically and requires no further user action or input.</t>
  </si>
  <si>
    <t>Generation Device</t>
  </si>
  <si>
    <t>Annual Output (MWh)</t>
  </si>
  <si>
    <t>Total Generation</t>
  </si>
  <si>
    <t>Worksheet V:  Baseline Methane Emissions from Anaerobic Storage/Treatment Systems</t>
  </si>
  <si>
    <t>Peach</t>
  </si>
  <si>
    <t>Automatic calculations - This value must be recorded and used as input for the next year's calculation</t>
  </si>
  <si>
    <t>Note to user:  Calculation formulas and descriptions are provided in Worksheet XV.</t>
  </si>
  <si>
    <r>
      <t>V.A.  Baseline Methane Emissions from Anaerobic Storage/Treatment Systems by Livestock Category: BE</t>
    </r>
    <r>
      <rPr>
        <b/>
        <u/>
        <vertAlign val="subscript"/>
        <sz val="12"/>
        <rFont val="Arial"/>
        <family val="2"/>
      </rPr>
      <t>CH4,AS,y</t>
    </r>
    <r>
      <rPr>
        <b/>
        <u/>
        <sz val="12"/>
        <rFont val="Arial"/>
        <family val="2"/>
      </rPr>
      <t xml:space="preserve">  [Equation 5.3]</t>
    </r>
  </si>
  <si>
    <r>
      <t>IMPORTANT:</t>
    </r>
    <r>
      <rPr>
        <sz val="10"/>
        <color indexed="10"/>
        <rFont val="Arial"/>
        <family val="2"/>
      </rPr>
      <t xml:space="preserve"> The total removal of solids from the baseline anaerobic storage/treatment system zeros-out the VS remaining from the previous month (column G below). The project developer is responsible for entering the month(s) that liquid is drained and solids are removed from the anaerobic lagoon in Section III.H. </t>
    </r>
    <r>
      <rPr>
        <sz val="10"/>
        <color indexed="10"/>
        <rFont val="Arial"/>
        <family val="2"/>
      </rPr>
      <t>If solids are carried over from December to January of the next year, the amount of solids remaining from December of the previous year must be manually entered in January for the next year's calculation (column G).  Keep a record of the the  (VS</t>
    </r>
    <r>
      <rPr>
        <vertAlign val="subscript"/>
        <sz val="10"/>
        <color indexed="10"/>
        <rFont val="Arial"/>
        <family val="2"/>
      </rPr>
      <t>avail-1,AS</t>
    </r>
    <r>
      <rPr>
        <sz val="10"/>
        <color indexed="10"/>
        <rFont val="Arial"/>
        <family val="2"/>
      </rPr>
      <t xml:space="preserve"> - VS</t>
    </r>
    <r>
      <rPr>
        <vertAlign val="subscript"/>
        <sz val="10"/>
        <color indexed="10"/>
        <rFont val="Arial"/>
        <family val="2"/>
      </rPr>
      <t>deg-1,AS</t>
    </r>
    <r>
      <rPr>
        <sz val="10"/>
        <color indexed="10"/>
        <rFont val="Arial"/>
        <family val="2"/>
      </rPr>
      <t xml:space="preserve">) that must be input for January of the next year (peach colored cells).  For operations in which there is only one anaerobic storage/treatment system, the calculation tool will render every other table blank.  </t>
    </r>
  </si>
  <si>
    <r>
      <t>VS</t>
    </r>
    <r>
      <rPr>
        <b/>
        <vertAlign val="subscript"/>
        <sz val="10"/>
        <rFont val="Arial"/>
        <family val="2"/>
      </rPr>
      <t>in,L</t>
    </r>
    <r>
      <rPr>
        <b/>
        <sz val="10"/>
        <rFont val="Arial"/>
        <family val="2"/>
      </rPr>
      <t xml:space="preserve"> (kg/animal/day) = </t>
    </r>
  </si>
  <si>
    <t># Days</t>
  </si>
  <si>
    <t>f</t>
  </si>
  <si>
    <r>
      <t>VS</t>
    </r>
    <r>
      <rPr>
        <b/>
        <vertAlign val="subscript"/>
        <sz val="10"/>
        <rFont val="Arial"/>
        <family val="2"/>
      </rPr>
      <t>L input</t>
    </r>
    <r>
      <rPr>
        <b/>
        <sz val="10"/>
        <rFont val="Arial"/>
        <family val="2"/>
      </rPr>
      <t xml:space="preserve"> (kg/animal/day)</t>
    </r>
  </si>
  <si>
    <r>
      <t>VS</t>
    </r>
    <r>
      <rPr>
        <b/>
        <vertAlign val="subscript"/>
        <sz val="10"/>
        <rFont val="Arial"/>
        <family val="2"/>
      </rPr>
      <t xml:space="preserve">avail,AS  </t>
    </r>
    <r>
      <rPr>
        <b/>
        <sz val="10"/>
        <rFont val="Arial"/>
        <family val="2"/>
      </rPr>
      <t>(kg)</t>
    </r>
  </si>
  <si>
    <r>
      <t>Carryover from previous month (Vs</t>
    </r>
    <r>
      <rPr>
        <b/>
        <vertAlign val="subscript"/>
        <sz val="10"/>
        <rFont val="Arial"/>
        <family val="2"/>
      </rPr>
      <t xml:space="preserve">avail-1,AS </t>
    </r>
    <r>
      <rPr>
        <b/>
        <sz val="10"/>
        <rFont val="Arial"/>
        <family val="2"/>
      </rPr>
      <t>- VS</t>
    </r>
    <r>
      <rPr>
        <b/>
        <vertAlign val="subscript"/>
        <sz val="10"/>
        <rFont val="Arial"/>
        <family val="2"/>
      </rPr>
      <t>deg-1,AS</t>
    </r>
    <r>
      <rPr>
        <b/>
        <sz val="10"/>
        <rFont val="Arial"/>
        <family val="2"/>
      </rPr>
      <t xml:space="preserve">) (kg)  </t>
    </r>
  </si>
  <si>
    <r>
      <t>VS</t>
    </r>
    <r>
      <rPr>
        <b/>
        <vertAlign val="subscript"/>
        <sz val="10"/>
        <rFont val="Arial"/>
        <family val="2"/>
      </rPr>
      <t>deg,AS</t>
    </r>
    <r>
      <rPr>
        <b/>
        <sz val="10"/>
        <rFont val="Arial"/>
        <family val="2"/>
      </rPr>
      <t xml:space="preserve">  (kg)</t>
    </r>
  </si>
  <si>
    <r>
      <t>BE</t>
    </r>
    <r>
      <rPr>
        <b/>
        <vertAlign val="subscript"/>
        <sz val="10"/>
        <rFont val="Arial"/>
        <family val="2"/>
      </rPr>
      <t xml:space="preserve">CH4,AS  </t>
    </r>
    <r>
      <rPr>
        <b/>
        <sz val="10"/>
        <rFont val="Arial"/>
        <family val="2"/>
      </rPr>
      <t>(MT)</t>
    </r>
  </si>
  <si>
    <r>
      <t>BE</t>
    </r>
    <r>
      <rPr>
        <b/>
        <vertAlign val="subscript"/>
        <sz val="10"/>
        <rFont val="Arial"/>
        <family val="2"/>
      </rPr>
      <t xml:space="preserve">CH4,AS  </t>
    </r>
    <r>
      <rPr>
        <b/>
        <sz val="10"/>
        <rFont val="Arial"/>
        <family val="2"/>
      </rPr>
      <t>(CO</t>
    </r>
    <r>
      <rPr>
        <b/>
        <vertAlign val="subscript"/>
        <sz val="10"/>
        <rFont val="Arial"/>
        <family val="2"/>
      </rPr>
      <t>2</t>
    </r>
    <r>
      <rPr>
        <b/>
        <sz val="10"/>
        <rFont val="Arial"/>
        <family val="2"/>
      </rPr>
      <t>e)</t>
    </r>
  </si>
  <si>
    <t>Total for period:</t>
  </si>
  <si>
    <r>
      <t xml:space="preserve">User Notes/Comments </t>
    </r>
    <r>
      <rPr>
        <b/>
        <sz val="10"/>
        <rFont val="Arial"/>
        <family val="2"/>
      </rPr>
      <t>(Explain historical solids removal practices for this storage/treatment system)</t>
    </r>
    <r>
      <rPr>
        <sz val="10"/>
        <rFont val="Arial"/>
        <family val="2"/>
      </rPr>
      <t>:</t>
    </r>
  </si>
  <si>
    <r>
      <t>VS</t>
    </r>
    <r>
      <rPr>
        <b/>
        <vertAlign val="subscript"/>
        <sz val="10"/>
        <rFont val="Arial"/>
        <family val="2"/>
      </rPr>
      <t xml:space="preserve">avail,AS  </t>
    </r>
    <r>
      <rPr>
        <b/>
        <sz val="10"/>
        <rFont val="Arial"/>
        <family val="2"/>
      </rPr>
      <t xml:space="preserve">(kg) </t>
    </r>
  </si>
  <si>
    <r>
      <t>V.B  Total Baseline Methane Emissions from Anaerobic Storage/Treatment Systems: BE</t>
    </r>
    <r>
      <rPr>
        <b/>
        <u/>
        <vertAlign val="subscript"/>
        <sz val="12"/>
        <rFont val="Arial"/>
        <family val="2"/>
      </rPr>
      <t>CH4,AS,y</t>
    </r>
    <r>
      <rPr>
        <b/>
        <u/>
        <sz val="12"/>
        <rFont val="Arial"/>
        <family val="2"/>
      </rPr>
      <t xml:space="preserve"> [Protocol - Equation 5.3]</t>
    </r>
  </si>
  <si>
    <r>
      <t>BE</t>
    </r>
    <r>
      <rPr>
        <b/>
        <vertAlign val="subscript"/>
        <sz val="10"/>
        <rFont val="Arial"/>
        <family val="2"/>
      </rPr>
      <t>CH4,AS</t>
    </r>
    <r>
      <rPr>
        <b/>
        <sz val="10"/>
        <rFont val="Arial"/>
        <family val="2"/>
      </rPr>
      <t>(MT)</t>
    </r>
  </si>
  <si>
    <r>
      <t>BE</t>
    </r>
    <r>
      <rPr>
        <b/>
        <vertAlign val="subscript"/>
        <sz val="10"/>
        <rFont val="Arial"/>
        <family val="2"/>
      </rPr>
      <t xml:space="preserve">CH4,AS </t>
    </r>
    <r>
      <rPr>
        <b/>
        <sz val="10"/>
        <rFont val="Arial"/>
        <family val="2"/>
      </rPr>
      <t>(CO</t>
    </r>
    <r>
      <rPr>
        <b/>
        <vertAlign val="subscript"/>
        <sz val="10"/>
        <rFont val="Arial"/>
        <family val="2"/>
      </rPr>
      <t>2</t>
    </r>
    <r>
      <rPr>
        <b/>
        <sz val="10"/>
        <rFont val="Arial"/>
        <family val="2"/>
      </rPr>
      <t>e)</t>
    </r>
  </si>
  <si>
    <t>Worksheet VI:  Baseline methane emissions from non-anaerobic storage/treatment systems</t>
  </si>
  <si>
    <t>VI.A.  Baseline Methane Emissions from Non-Anaerobic Storage/Treatment Systems (By System Component) [Equation 5.4]</t>
  </si>
  <si>
    <t>All inputs for these calculations taken from Worksheet III. Data Inputs -BE.  This worksheet requires no user input or adjustments.</t>
  </si>
  <si>
    <t>Livestock category (L)</t>
  </si>
  <si>
    <r>
      <t>P</t>
    </r>
    <r>
      <rPr>
        <b/>
        <vertAlign val="subscript"/>
        <sz val="10"/>
        <rFont val="Arial"/>
        <family val="2"/>
      </rPr>
      <t xml:space="preserve">L </t>
    </r>
    <r>
      <rPr>
        <b/>
        <sz val="10"/>
        <rFont val="Arial"/>
        <family val="2"/>
      </rPr>
      <t>(animal/yr)</t>
    </r>
  </si>
  <si>
    <r>
      <t>MS</t>
    </r>
    <r>
      <rPr>
        <b/>
        <vertAlign val="subscript"/>
        <sz val="10"/>
        <rFont val="Arial"/>
        <family val="2"/>
      </rPr>
      <t xml:space="preserve">L,nAS </t>
    </r>
    <r>
      <rPr>
        <b/>
        <sz val="10"/>
        <rFont val="Arial"/>
        <family val="2"/>
      </rPr>
      <t>(%)</t>
    </r>
  </si>
  <si>
    <r>
      <t>VS</t>
    </r>
    <r>
      <rPr>
        <b/>
        <vertAlign val="subscript"/>
        <sz val="10"/>
        <rFont val="Arial"/>
        <family val="2"/>
      </rPr>
      <t xml:space="preserve">in,L </t>
    </r>
    <r>
      <rPr>
        <b/>
        <sz val="10"/>
        <rFont val="Arial"/>
        <family val="2"/>
      </rPr>
      <t>(kg/animal/day)</t>
    </r>
  </si>
  <si>
    <r>
      <t>MCF</t>
    </r>
    <r>
      <rPr>
        <b/>
        <vertAlign val="subscript"/>
        <sz val="10"/>
        <rFont val="Arial"/>
        <family val="2"/>
      </rPr>
      <t xml:space="preserve">nAS </t>
    </r>
    <r>
      <rPr>
        <b/>
        <sz val="10"/>
        <rFont val="Arial"/>
        <family val="2"/>
      </rPr>
      <t>(%)</t>
    </r>
  </si>
  <si>
    <r>
      <t>B</t>
    </r>
    <r>
      <rPr>
        <b/>
        <vertAlign val="subscript"/>
        <sz val="10"/>
        <rFont val="Arial"/>
        <family val="2"/>
      </rPr>
      <t xml:space="preserve">o,L </t>
    </r>
    <r>
      <rPr>
        <b/>
        <sz val="10"/>
        <rFont val="Arial"/>
        <family val="2"/>
      </rPr>
      <t>(M</t>
    </r>
    <r>
      <rPr>
        <b/>
        <vertAlign val="superscript"/>
        <sz val="10"/>
        <rFont val="Arial"/>
        <family val="2"/>
      </rPr>
      <t>3</t>
    </r>
    <r>
      <rPr>
        <b/>
        <sz val="10"/>
        <rFont val="Arial"/>
        <family val="2"/>
      </rPr>
      <t xml:space="preserve"> CH</t>
    </r>
    <r>
      <rPr>
        <b/>
        <vertAlign val="subscript"/>
        <sz val="10"/>
        <rFont val="Arial"/>
        <family val="2"/>
      </rPr>
      <t>4</t>
    </r>
    <r>
      <rPr>
        <b/>
        <sz val="10"/>
        <rFont val="Arial"/>
        <family val="2"/>
      </rPr>
      <t>/kg VS)</t>
    </r>
  </si>
  <si>
    <r>
      <t>BE</t>
    </r>
    <r>
      <rPr>
        <b/>
        <vertAlign val="subscript"/>
        <sz val="10"/>
        <rFont val="Arial"/>
        <family val="2"/>
      </rPr>
      <t>CH4,nAS</t>
    </r>
    <r>
      <rPr>
        <b/>
        <sz val="10"/>
        <rFont val="Arial"/>
        <family val="2"/>
      </rPr>
      <t xml:space="preserve"> (MT) </t>
    </r>
  </si>
  <si>
    <r>
      <t>BE</t>
    </r>
    <r>
      <rPr>
        <b/>
        <vertAlign val="subscript"/>
        <sz val="10"/>
        <rFont val="Arial"/>
        <family val="2"/>
      </rPr>
      <t>CH4,nAS</t>
    </r>
    <r>
      <rPr>
        <b/>
        <sz val="10"/>
        <rFont val="Arial"/>
        <family val="2"/>
      </rPr>
      <t xml:space="preserve"> (CO2e)</t>
    </r>
  </si>
  <si>
    <t>Total:</t>
  </si>
  <si>
    <t xml:space="preserve">VI.B. Total Baseline Methane Emissions from Non-Anaerobic Storage/Treatment Systems  [Protocol - Equation 5.4] </t>
  </si>
  <si>
    <t>Worksheet VII:  Total Baseline Methane Emissions</t>
  </si>
  <si>
    <t>This section provides a summary of the baseline methane emissions by livestock category, storage/treatment system, and total methane.  This worksheet requires no user input or adjustments.</t>
  </si>
  <si>
    <t>VII.A. Baseline Methane Emissions by Livestock Category (L)  [Equations 5.3 and 5.4]</t>
  </si>
  <si>
    <r>
      <t>Sum BE</t>
    </r>
    <r>
      <rPr>
        <b/>
        <vertAlign val="subscript"/>
        <sz val="10"/>
        <rFont val="Arial"/>
        <family val="2"/>
      </rPr>
      <t xml:space="preserve">CH4,AS  </t>
    </r>
    <r>
      <rPr>
        <b/>
        <sz val="10"/>
        <rFont val="Arial"/>
        <family val="2"/>
      </rPr>
      <t>(MT)</t>
    </r>
  </si>
  <si>
    <r>
      <t>Sum BE</t>
    </r>
    <r>
      <rPr>
        <b/>
        <vertAlign val="subscript"/>
        <sz val="10"/>
        <rFont val="Arial"/>
        <family val="2"/>
      </rPr>
      <t xml:space="preserve">CH4,AS </t>
    </r>
    <r>
      <rPr>
        <b/>
        <sz val="10"/>
        <rFont val="Arial"/>
        <family val="2"/>
      </rPr>
      <t>(CO</t>
    </r>
    <r>
      <rPr>
        <b/>
        <vertAlign val="subscript"/>
        <sz val="10"/>
        <rFont val="Arial"/>
        <family val="2"/>
      </rPr>
      <t>2</t>
    </r>
    <r>
      <rPr>
        <b/>
        <sz val="10"/>
        <rFont val="Arial"/>
        <family val="2"/>
      </rPr>
      <t>e)</t>
    </r>
  </si>
  <si>
    <r>
      <t>Sum BE</t>
    </r>
    <r>
      <rPr>
        <b/>
        <vertAlign val="subscript"/>
        <sz val="10"/>
        <rFont val="Arial"/>
        <family val="2"/>
      </rPr>
      <t>CH4,nAS</t>
    </r>
    <r>
      <rPr>
        <b/>
        <sz val="10"/>
        <rFont val="Arial"/>
        <family val="2"/>
      </rPr>
      <t xml:space="preserve"> (MT) </t>
    </r>
  </si>
  <si>
    <r>
      <t>Sum BE</t>
    </r>
    <r>
      <rPr>
        <b/>
        <vertAlign val="subscript"/>
        <sz val="10"/>
        <rFont val="Arial"/>
        <family val="2"/>
      </rPr>
      <t>CH4,nAS</t>
    </r>
    <r>
      <rPr>
        <b/>
        <sz val="10"/>
        <rFont val="Arial"/>
        <family val="2"/>
      </rPr>
      <t xml:space="preserve"> (CO2e)</t>
    </r>
  </si>
  <si>
    <r>
      <t>Total BE</t>
    </r>
    <r>
      <rPr>
        <b/>
        <vertAlign val="subscript"/>
        <sz val="10"/>
        <rFont val="Arial"/>
        <family val="2"/>
      </rPr>
      <t>CH4,L</t>
    </r>
    <r>
      <rPr>
        <b/>
        <sz val="10"/>
        <rFont val="Arial"/>
        <family val="2"/>
      </rPr>
      <t xml:space="preserve"> (MT)</t>
    </r>
  </si>
  <si>
    <r>
      <t>Total BE</t>
    </r>
    <r>
      <rPr>
        <b/>
        <vertAlign val="subscript"/>
        <sz val="10"/>
        <rFont val="Arial"/>
        <family val="2"/>
      </rPr>
      <t xml:space="preserve">CH4,L </t>
    </r>
    <r>
      <rPr>
        <b/>
        <sz val="10"/>
        <rFont val="Arial"/>
        <family val="2"/>
      </rPr>
      <t>(CO2e)</t>
    </r>
  </si>
  <si>
    <t>VII.B.  Baseline Methane Emissions by Methane Component (S) [Equations 5.3 and 5.4]</t>
  </si>
  <si>
    <t>Storage/treatment system (S)</t>
  </si>
  <si>
    <r>
      <t>Total BE</t>
    </r>
    <r>
      <rPr>
        <b/>
        <vertAlign val="subscript"/>
        <sz val="10"/>
        <rFont val="Arial"/>
        <family val="2"/>
      </rPr>
      <t xml:space="preserve">CH4,S  </t>
    </r>
    <r>
      <rPr>
        <b/>
        <sz val="10"/>
        <rFont val="Arial"/>
        <family val="2"/>
      </rPr>
      <t>(MT)</t>
    </r>
  </si>
  <si>
    <r>
      <t>Total BE</t>
    </r>
    <r>
      <rPr>
        <b/>
        <vertAlign val="subscript"/>
        <sz val="10"/>
        <rFont val="Arial"/>
        <family val="2"/>
      </rPr>
      <t>CH4,S</t>
    </r>
    <r>
      <rPr>
        <b/>
        <sz val="10"/>
        <rFont val="Arial"/>
        <family val="2"/>
      </rPr>
      <t xml:space="preserve"> (CO2e)</t>
    </r>
  </si>
  <si>
    <t>VII.C.  Total Baseline Methane Emissions [Protocol - Equation 5.2]</t>
  </si>
  <si>
    <r>
      <t>Total BE</t>
    </r>
    <r>
      <rPr>
        <b/>
        <vertAlign val="subscript"/>
        <sz val="10"/>
        <rFont val="Arial"/>
        <family val="2"/>
      </rPr>
      <t xml:space="preserve">CH4,S </t>
    </r>
    <r>
      <rPr>
        <b/>
        <sz val="10"/>
        <rFont val="Arial"/>
        <family val="2"/>
      </rPr>
      <t>(MT)</t>
    </r>
  </si>
  <si>
    <t>Worksheet VIII:  Project Methane Emissions from the Biogas Control System</t>
  </si>
  <si>
    <t>VIII.A.  Project Methane Emissions from the Biogas Control System [Equation 5.6] and Total Destroyed Methane [Equation 5.10]</t>
  </si>
  <si>
    <t xml:space="preserve">All inputs for this worksheet taken from Worksheet IV. Data Inputs -PE.  This worksheet requires no user input or adjustments. </t>
  </si>
  <si>
    <r>
      <t>T (</t>
    </r>
    <r>
      <rPr>
        <b/>
        <vertAlign val="superscript"/>
        <sz val="10"/>
        <rFont val="Arial"/>
        <family val="2"/>
      </rPr>
      <t>o</t>
    </r>
    <r>
      <rPr>
        <b/>
        <sz val="10"/>
        <rFont val="Arial"/>
        <family val="2"/>
      </rPr>
      <t>R)</t>
    </r>
  </si>
  <si>
    <t>P (atm)</t>
  </si>
  <si>
    <t>F
(scf/month)</t>
  </si>
  <si>
    <r>
      <t>CH</t>
    </r>
    <r>
      <rPr>
        <b/>
        <vertAlign val="subscript"/>
        <sz val="10"/>
        <rFont val="Arial"/>
        <family val="2"/>
      </rPr>
      <t>4,conc</t>
    </r>
    <r>
      <rPr>
        <b/>
        <sz val="10"/>
        <rFont val="Arial"/>
        <family val="2"/>
      </rPr>
      <t xml:space="preserve"> (%)</t>
    </r>
  </si>
  <si>
    <r>
      <t>CH</t>
    </r>
    <r>
      <rPr>
        <b/>
        <vertAlign val="subscript"/>
        <sz val="10"/>
        <rFont val="Arial"/>
        <family val="2"/>
      </rPr>
      <t xml:space="preserve">4,meter
</t>
    </r>
    <r>
      <rPr>
        <b/>
        <sz val="10"/>
        <rFont val="Arial"/>
        <family val="2"/>
      </rPr>
      <t>(MTCH</t>
    </r>
    <r>
      <rPr>
        <b/>
        <vertAlign val="subscript"/>
        <sz val="10"/>
        <rFont val="Arial"/>
        <family val="2"/>
      </rPr>
      <t>4</t>
    </r>
    <r>
      <rPr>
        <b/>
        <sz val="10"/>
        <rFont val="Arial"/>
        <family val="2"/>
      </rPr>
      <t>/month)</t>
    </r>
  </si>
  <si>
    <t>BCE
(fraction)</t>
  </si>
  <si>
    <t>BDE
(fraction)</t>
  </si>
  <si>
    <r>
      <t>PE</t>
    </r>
    <r>
      <rPr>
        <b/>
        <vertAlign val="subscript"/>
        <sz val="10"/>
        <rFont val="Arial"/>
        <family val="2"/>
      </rPr>
      <t xml:space="preserve">CH4,BCS
</t>
    </r>
    <r>
      <rPr>
        <b/>
        <sz val="10"/>
        <rFont val="Arial"/>
        <family val="2"/>
      </rPr>
      <t>(MTCH</t>
    </r>
    <r>
      <rPr>
        <b/>
        <vertAlign val="subscript"/>
        <sz val="10"/>
        <rFont val="Arial"/>
        <family val="2"/>
      </rPr>
      <t>4</t>
    </r>
    <r>
      <rPr>
        <b/>
        <sz val="10"/>
        <rFont val="Arial"/>
        <family val="2"/>
      </rPr>
      <t>/month)</t>
    </r>
  </si>
  <si>
    <r>
      <t>PE</t>
    </r>
    <r>
      <rPr>
        <b/>
        <vertAlign val="subscript"/>
        <sz val="10"/>
        <rFont val="Arial"/>
        <family val="2"/>
      </rPr>
      <t xml:space="preserve">CH4,BCS
</t>
    </r>
    <r>
      <rPr>
        <b/>
        <sz val="10"/>
        <rFont val="Arial"/>
        <family val="2"/>
      </rPr>
      <t>(MTCO</t>
    </r>
    <r>
      <rPr>
        <b/>
        <vertAlign val="subscript"/>
        <sz val="10"/>
        <rFont val="Arial"/>
        <family val="2"/>
      </rPr>
      <t>2e</t>
    </r>
    <r>
      <rPr>
        <b/>
        <sz val="10"/>
        <rFont val="Arial"/>
        <family val="2"/>
      </rPr>
      <t>/month)</t>
    </r>
  </si>
  <si>
    <r>
      <t>CH</t>
    </r>
    <r>
      <rPr>
        <b/>
        <vertAlign val="subscript"/>
        <sz val="10"/>
        <rFont val="Arial"/>
        <family val="2"/>
      </rPr>
      <t xml:space="preserve">4,destroyed
</t>
    </r>
    <r>
      <rPr>
        <b/>
        <sz val="10"/>
        <rFont val="Arial"/>
        <family val="2"/>
      </rPr>
      <t>(MTCH</t>
    </r>
    <r>
      <rPr>
        <b/>
        <vertAlign val="subscript"/>
        <sz val="10"/>
        <rFont val="Arial"/>
        <family val="2"/>
      </rPr>
      <t>4</t>
    </r>
    <r>
      <rPr>
        <b/>
        <sz val="10"/>
        <rFont val="Arial"/>
        <family val="2"/>
      </rPr>
      <t>/month)</t>
    </r>
  </si>
  <si>
    <r>
      <t>CH</t>
    </r>
    <r>
      <rPr>
        <b/>
        <vertAlign val="subscript"/>
        <sz val="10"/>
        <rFont val="Arial"/>
        <family val="2"/>
      </rPr>
      <t xml:space="preserve">4,destroyed
</t>
    </r>
    <r>
      <rPr>
        <b/>
        <sz val="10"/>
        <rFont val="Arial"/>
        <family val="2"/>
      </rPr>
      <t>(MTCO</t>
    </r>
    <r>
      <rPr>
        <b/>
        <vertAlign val="subscript"/>
        <sz val="10"/>
        <rFont val="Arial"/>
        <family val="2"/>
      </rPr>
      <t>2e</t>
    </r>
    <r>
      <rPr>
        <b/>
        <sz val="10"/>
        <rFont val="Arial"/>
        <family val="2"/>
      </rPr>
      <t>/month)</t>
    </r>
  </si>
  <si>
    <r>
      <t>CH</t>
    </r>
    <r>
      <rPr>
        <b/>
        <vertAlign val="subscript"/>
        <sz val="10"/>
        <rFont val="Arial"/>
        <family val="2"/>
      </rPr>
      <t>4,destroyed</t>
    </r>
    <r>
      <rPr>
        <b/>
        <sz val="10"/>
        <rFont val="Arial"/>
        <family val="2"/>
      </rPr>
      <t xml:space="preserve"> during periods of regulatory noncompliance (MTCH</t>
    </r>
    <r>
      <rPr>
        <b/>
        <vertAlign val="subscript"/>
        <sz val="10"/>
        <rFont val="Arial"/>
        <family val="2"/>
      </rPr>
      <t>4</t>
    </r>
    <r>
      <rPr>
        <b/>
        <sz val="10"/>
        <rFont val="Arial"/>
        <family val="2"/>
      </rPr>
      <t>/month)</t>
    </r>
  </si>
  <si>
    <t xml:space="preserve">Annual Total: </t>
  </si>
  <si>
    <t>Worksheet IX:  Project Methane Emissions from Venting Events</t>
  </si>
  <si>
    <t>All inputs for this worksheet taken from Worksheet IV. INPUT-Project.  This worksheet requires no user input or adjustment.</t>
  </si>
  <si>
    <t>IX.A.  Project Methane Emissions from Venting Events [Equation 5.6]</t>
  </si>
  <si>
    <r>
      <t>Density of CH</t>
    </r>
    <r>
      <rPr>
        <b/>
        <vertAlign val="subscript"/>
        <sz val="10"/>
        <rFont val="Arial"/>
        <family val="2"/>
      </rPr>
      <t>4</t>
    </r>
    <r>
      <rPr>
        <b/>
        <sz val="10"/>
        <rFont val="Arial"/>
        <family val="2"/>
      </rPr>
      <t xml:space="preserve">
(lbsCH</t>
    </r>
    <r>
      <rPr>
        <b/>
        <vertAlign val="subscript"/>
        <sz val="10"/>
        <rFont val="Arial"/>
        <family val="2"/>
      </rPr>
      <t>4</t>
    </r>
    <r>
      <rPr>
        <b/>
        <sz val="10"/>
        <rFont val="Arial"/>
        <family val="2"/>
      </rPr>
      <t>/scf)</t>
    </r>
  </si>
  <si>
    <t>Mass Conversion
(lbs/MT)</t>
  </si>
  <si>
    <r>
      <t>CH</t>
    </r>
    <r>
      <rPr>
        <b/>
        <vertAlign val="subscript"/>
        <sz val="10"/>
        <rFont val="Arial"/>
        <family val="2"/>
      </rPr>
      <t xml:space="preserve">4,vent,I
</t>
    </r>
    <r>
      <rPr>
        <b/>
        <sz val="10"/>
        <rFont val="Arial"/>
        <family val="2"/>
      </rPr>
      <t>(MT)</t>
    </r>
  </si>
  <si>
    <r>
      <t>CH</t>
    </r>
    <r>
      <rPr>
        <b/>
        <vertAlign val="subscript"/>
        <sz val="10"/>
        <rFont val="Arial"/>
        <family val="2"/>
      </rPr>
      <t xml:space="preserve">4,vent,i
</t>
    </r>
    <r>
      <rPr>
        <b/>
        <sz val="10"/>
        <rFont val="Arial"/>
        <family val="2"/>
      </rPr>
      <t>(MTCO</t>
    </r>
    <r>
      <rPr>
        <b/>
        <vertAlign val="subscript"/>
        <sz val="10"/>
        <rFont val="Arial"/>
        <family val="2"/>
      </rPr>
      <t>2</t>
    </r>
    <r>
      <rPr>
        <b/>
        <sz val="10"/>
        <rFont val="Arial"/>
        <family val="2"/>
      </rPr>
      <t>e)</t>
    </r>
  </si>
  <si>
    <t xml:space="preserve">Annual Total:  </t>
  </si>
  <si>
    <t>Worksheet X:  Project Methane Emissions from the BCS Effluent Pond</t>
  </si>
  <si>
    <t>All inputs for this worksheet taken from Worksheet IV. Data Inputs -PE.  This worksheet requires no user input or adjustment.</t>
  </si>
  <si>
    <t>X.A.  Project Methane Emissions from the BCS Effluent Pond [Equation 5.8]</t>
  </si>
  <si>
    <r>
      <t>The VS</t>
    </r>
    <r>
      <rPr>
        <vertAlign val="subscript"/>
        <sz val="10"/>
        <rFont val="Arial"/>
        <family val="2"/>
      </rPr>
      <t>ep</t>
    </r>
    <r>
      <rPr>
        <sz val="10"/>
        <rFont val="Arial"/>
        <family val="2"/>
      </rPr>
      <t xml:space="preserve"> value is calculated according to guidance in Equation 5.8.  The calculation assumes that 30% of the VS entering the digester subsequently leaves the digester in the effluent.</t>
    </r>
  </si>
  <si>
    <r>
      <t>VS</t>
    </r>
    <r>
      <rPr>
        <b/>
        <vertAlign val="subscript"/>
        <sz val="10"/>
        <rFont val="Arial"/>
        <family val="2"/>
      </rPr>
      <t>ep</t>
    </r>
    <r>
      <rPr>
        <b/>
        <sz val="10"/>
        <rFont val="Arial"/>
        <family val="2"/>
      </rPr>
      <t xml:space="preserve">
(kg/day)</t>
    </r>
  </si>
  <si>
    <r>
      <t>RD</t>
    </r>
    <r>
      <rPr>
        <b/>
        <vertAlign val="subscript"/>
        <sz val="10"/>
        <rFont val="Arial"/>
        <family val="2"/>
      </rPr>
      <t>rp</t>
    </r>
  </si>
  <si>
    <r>
      <t>MCF</t>
    </r>
    <r>
      <rPr>
        <b/>
        <vertAlign val="subscript"/>
        <sz val="10"/>
        <rFont val="Arial"/>
        <family val="2"/>
      </rPr>
      <t>ep</t>
    </r>
    <r>
      <rPr>
        <b/>
        <sz val="10"/>
        <rFont val="Arial"/>
        <family val="2"/>
      </rPr>
      <t xml:space="preserve"> (%)</t>
    </r>
  </si>
  <si>
    <r>
      <t>PE</t>
    </r>
    <r>
      <rPr>
        <b/>
        <vertAlign val="subscript"/>
        <sz val="10"/>
        <rFont val="Arial"/>
        <family val="2"/>
      </rPr>
      <t xml:space="preserve">CH4,EP
</t>
    </r>
    <r>
      <rPr>
        <b/>
        <sz val="10"/>
        <rFont val="Arial"/>
        <family val="2"/>
      </rPr>
      <t>(MT CH</t>
    </r>
    <r>
      <rPr>
        <b/>
        <vertAlign val="subscript"/>
        <sz val="10"/>
        <rFont val="Arial"/>
        <family val="2"/>
      </rPr>
      <t>4</t>
    </r>
    <r>
      <rPr>
        <b/>
        <sz val="10"/>
        <rFont val="Arial"/>
        <family val="2"/>
      </rPr>
      <t>/yr)</t>
    </r>
  </si>
  <si>
    <r>
      <t>PE</t>
    </r>
    <r>
      <rPr>
        <b/>
        <vertAlign val="subscript"/>
        <sz val="10"/>
        <rFont val="Arial"/>
        <family val="2"/>
      </rPr>
      <t xml:space="preserve">CH4,EP
</t>
    </r>
    <r>
      <rPr>
        <b/>
        <sz val="10"/>
        <rFont val="Arial"/>
        <family val="2"/>
      </rPr>
      <t>(MT CO</t>
    </r>
    <r>
      <rPr>
        <b/>
        <vertAlign val="subscript"/>
        <sz val="10"/>
        <rFont val="Arial"/>
        <family val="2"/>
      </rPr>
      <t>2</t>
    </r>
    <r>
      <rPr>
        <b/>
        <sz val="10"/>
        <rFont val="Arial"/>
        <family val="2"/>
      </rPr>
      <t>e/yr)</t>
    </r>
  </si>
  <si>
    <t>Worksheet XI:  Project Methane Emissions from Non-BCS-Related Sources</t>
  </si>
  <si>
    <t>XI.A.  Methane Emission Factor for the Livestock Population from Non-BCS-Related Sources [Equation 5.9]</t>
  </si>
  <si>
    <r>
      <t xml:space="preserve"> Daily volatile sold excretion values (VSL) for each of the livestock categories is drawn automatically from Worksheet III, Sections III.E, III.F, and III.G.  Project VS and B</t>
    </r>
    <r>
      <rPr>
        <vertAlign val="subscript"/>
        <sz val="10"/>
        <rFont val="Arial"/>
        <family val="2"/>
      </rPr>
      <t>0</t>
    </r>
    <r>
      <rPr>
        <sz val="10"/>
        <rFont val="Arial"/>
        <family val="2"/>
      </rPr>
      <t xml:space="preserve"> are the same values used in the baseline calculations. Rows without a storage/treatment system heading are left blank. This worksheet requires no user input or adjustments..</t>
    </r>
  </si>
  <si>
    <r>
      <t>VS</t>
    </r>
    <r>
      <rPr>
        <b/>
        <vertAlign val="subscript"/>
        <sz val="10"/>
        <rFont val="Arial"/>
        <family val="2"/>
      </rPr>
      <t xml:space="preserve">L </t>
    </r>
    <r>
      <rPr>
        <b/>
        <sz val="10"/>
        <rFont val="Arial"/>
        <family val="2"/>
      </rPr>
      <t>(kg dry matter/day) =</t>
    </r>
  </si>
  <si>
    <r>
      <t>B</t>
    </r>
    <r>
      <rPr>
        <b/>
        <vertAlign val="subscript"/>
        <sz val="10"/>
        <rFont val="Arial"/>
        <family val="2"/>
      </rPr>
      <t>o,L</t>
    </r>
    <r>
      <rPr>
        <b/>
        <sz val="10"/>
        <rFont val="Arial"/>
        <family val="2"/>
      </rPr>
      <t xml:space="preserve"> (m</t>
    </r>
    <r>
      <rPr>
        <b/>
        <vertAlign val="superscript"/>
        <sz val="10"/>
        <rFont val="Arial"/>
        <family val="2"/>
      </rPr>
      <t>3</t>
    </r>
    <r>
      <rPr>
        <b/>
        <sz val="10"/>
        <rFont val="Arial"/>
        <family val="2"/>
      </rPr>
      <t xml:space="preserve"> CH</t>
    </r>
    <r>
      <rPr>
        <b/>
        <vertAlign val="subscript"/>
        <sz val="10"/>
        <rFont val="Arial"/>
        <family val="2"/>
      </rPr>
      <t>4</t>
    </r>
    <r>
      <rPr>
        <b/>
        <sz val="10"/>
        <rFont val="Arial"/>
        <family val="2"/>
      </rPr>
      <t xml:space="preserve">/kg VS dry matter) = </t>
    </r>
  </si>
  <si>
    <t>Storage/Treatment System (S)</t>
  </si>
  <si>
    <r>
      <t>MCF</t>
    </r>
    <r>
      <rPr>
        <b/>
        <vertAlign val="subscript"/>
        <sz val="10"/>
        <rFont val="Arial"/>
        <family val="2"/>
      </rPr>
      <t>S</t>
    </r>
    <r>
      <rPr>
        <b/>
        <sz val="10"/>
        <rFont val="Arial"/>
        <family val="2"/>
      </rPr>
      <t xml:space="preserve"> (%)</t>
    </r>
  </si>
  <si>
    <r>
      <t>MS</t>
    </r>
    <r>
      <rPr>
        <b/>
        <vertAlign val="subscript"/>
        <sz val="10"/>
        <rFont val="Arial"/>
        <family val="2"/>
      </rPr>
      <t>L,S</t>
    </r>
    <r>
      <rPr>
        <b/>
        <sz val="10"/>
        <rFont val="Arial"/>
        <family val="2"/>
      </rPr>
      <t xml:space="preserve"> (%)</t>
    </r>
  </si>
  <si>
    <r>
      <t>MCF</t>
    </r>
    <r>
      <rPr>
        <b/>
        <vertAlign val="subscript"/>
        <sz val="10"/>
        <rFont val="Arial"/>
        <family val="2"/>
      </rPr>
      <t>s</t>
    </r>
    <r>
      <rPr>
        <b/>
        <sz val="10"/>
        <rFont val="Arial"/>
        <family val="2"/>
      </rPr>
      <t>xMS</t>
    </r>
    <r>
      <rPr>
        <b/>
        <vertAlign val="subscript"/>
        <sz val="10"/>
        <rFont val="Arial"/>
        <family val="2"/>
      </rPr>
      <t>l,s</t>
    </r>
  </si>
  <si>
    <r>
      <t>EF</t>
    </r>
    <r>
      <rPr>
        <b/>
        <vertAlign val="subscript"/>
        <sz val="10"/>
        <rFont val="Arial"/>
        <family val="2"/>
      </rPr>
      <t>CH4,L</t>
    </r>
    <r>
      <rPr>
        <b/>
        <sz val="10"/>
        <rFont val="Arial"/>
        <family val="2"/>
      </rPr>
      <t>(nBCS</t>
    </r>
    <r>
      <rPr>
        <b/>
        <vertAlign val="subscript"/>
        <sz val="10"/>
        <rFont val="Arial"/>
        <family val="2"/>
      </rPr>
      <t>S</t>
    </r>
    <r>
      <rPr>
        <b/>
        <sz val="10"/>
        <rFont val="Arial"/>
        <family val="2"/>
      </rPr>
      <t>)
(kgCH4/head/yr)</t>
    </r>
  </si>
  <si>
    <t>Storage/treatment System (S)</t>
  </si>
  <si>
    <t>XI.B.  Project Methane Emissions from Non-BCS-Related Sources [Equation 5.9]</t>
  </si>
  <si>
    <r>
      <t>Total EF</t>
    </r>
    <r>
      <rPr>
        <b/>
        <vertAlign val="subscript"/>
        <sz val="10"/>
        <rFont val="Arial"/>
        <family val="2"/>
      </rPr>
      <t>CH4,L</t>
    </r>
    <r>
      <rPr>
        <b/>
        <sz val="10"/>
        <rFont val="Arial"/>
        <family val="2"/>
      </rPr>
      <t>(nBCS</t>
    </r>
    <r>
      <rPr>
        <b/>
        <vertAlign val="subscript"/>
        <sz val="10"/>
        <rFont val="Arial"/>
        <family val="2"/>
      </rPr>
      <t>S</t>
    </r>
    <r>
      <rPr>
        <b/>
        <sz val="10"/>
        <rFont val="Arial"/>
        <family val="2"/>
      </rPr>
      <t>)
(kg CH</t>
    </r>
    <r>
      <rPr>
        <b/>
        <vertAlign val="subscript"/>
        <sz val="10"/>
        <rFont val="Arial"/>
        <family val="2"/>
      </rPr>
      <t>4</t>
    </r>
    <r>
      <rPr>
        <b/>
        <sz val="10"/>
        <rFont val="Arial"/>
        <family val="2"/>
      </rPr>
      <t>/head/yr)</t>
    </r>
  </si>
  <si>
    <r>
      <t>P</t>
    </r>
    <r>
      <rPr>
        <b/>
        <vertAlign val="subscript"/>
        <sz val="10"/>
        <rFont val="Arial"/>
        <family val="2"/>
      </rPr>
      <t>L</t>
    </r>
    <r>
      <rPr>
        <b/>
        <sz val="10"/>
        <rFont val="Arial"/>
        <family val="2"/>
      </rPr>
      <t xml:space="preserve"> (head)</t>
    </r>
  </si>
  <si>
    <t>Total kg CH4/year</t>
  </si>
  <si>
    <r>
      <t>PE</t>
    </r>
    <r>
      <rPr>
        <b/>
        <vertAlign val="subscript"/>
        <sz val="10"/>
        <rFont val="Arial"/>
        <family val="2"/>
      </rPr>
      <t xml:space="preserve">CH4,non-BCS
</t>
    </r>
    <r>
      <rPr>
        <b/>
        <sz val="10"/>
        <rFont val="Arial"/>
        <family val="2"/>
      </rPr>
      <t>(MT CH4/yr)</t>
    </r>
  </si>
  <si>
    <r>
      <t>PE</t>
    </r>
    <r>
      <rPr>
        <b/>
        <vertAlign val="subscript"/>
        <sz val="10"/>
        <rFont val="Arial"/>
        <family val="2"/>
      </rPr>
      <t xml:space="preserve">CH4,non-BCS
</t>
    </r>
    <r>
      <rPr>
        <b/>
        <sz val="10"/>
        <rFont val="Arial"/>
        <family val="2"/>
      </rPr>
      <t>(MT CO2e/yr)</t>
    </r>
  </si>
  <si>
    <t>Worksheet XII: Total Project Methane Emissions</t>
  </si>
  <si>
    <t>This section provides a summary of the project methane emissions by the BCS, effluent pond, and non-BCS. This worksheet requires no user input or adjustments.</t>
  </si>
  <si>
    <t>XII.A.  Project Methane Emissions from the Biogas Control System [Equation 5.6]</t>
  </si>
  <si>
    <r>
      <t>PE</t>
    </r>
    <r>
      <rPr>
        <b/>
        <vertAlign val="subscript"/>
        <sz val="10"/>
        <rFont val="Arial"/>
        <family val="2"/>
      </rPr>
      <t>CH4,BCS</t>
    </r>
    <r>
      <rPr>
        <b/>
        <sz val="10"/>
        <rFont val="Arial"/>
        <family val="2"/>
      </rPr>
      <t xml:space="preserve"> (MT CH</t>
    </r>
    <r>
      <rPr>
        <b/>
        <vertAlign val="subscript"/>
        <sz val="10"/>
        <rFont val="Arial"/>
        <family val="2"/>
      </rPr>
      <t>4</t>
    </r>
    <r>
      <rPr>
        <b/>
        <sz val="10"/>
        <rFont val="Arial"/>
        <family val="2"/>
      </rPr>
      <t xml:space="preserve">/yr) = </t>
    </r>
  </si>
  <si>
    <r>
      <t>PE</t>
    </r>
    <r>
      <rPr>
        <b/>
        <vertAlign val="subscript"/>
        <sz val="10"/>
        <rFont val="Arial"/>
        <family val="2"/>
      </rPr>
      <t>CH4,BCS</t>
    </r>
    <r>
      <rPr>
        <b/>
        <sz val="10"/>
        <rFont val="Arial"/>
        <family val="2"/>
      </rPr>
      <t xml:space="preserve"> (MT CO</t>
    </r>
    <r>
      <rPr>
        <b/>
        <vertAlign val="subscript"/>
        <sz val="10"/>
        <rFont val="Arial"/>
        <family val="2"/>
      </rPr>
      <t>2</t>
    </r>
    <r>
      <rPr>
        <b/>
        <sz val="10"/>
        <rFont val="Arial"/>
        <family val="2"/>
      </rPr>
      <t xml:space="preserve">e/yr) = </t>
    </r>
  </si>
  <si>
    <t>XII.B.  Methane Emissions from Venting Events [Equation 5.6]</t>
  </si>
  <si>
    <r>
      <t>CH</t>
    </r>
    <r>
      <rPr>
        <b/>
        <vertAlign val="subscript"/>
        <sz val="10"/>
        <rFont val="Arial"/>
        <family val="2"/>
      </rPr>
      <t>4,vent,i</t>
    </r>
    <r>
      <rPr>
        <b/>
        <sz val="10"/>
        <rFont val="Arial"/>
        <family val="2"/>
      </rPr>
      <t xml:space="preserve"> (MTCH</t>
    </r>
    <r>
      <rPr>
        <b/>
        <vertAlign val="subscript"/>
        <sz val="10"/>
        <rFont val="Arial"/>
        <family val="2"/>
      </rPr>
      <t>4</t>
    </r>
    <r>
      <rPr>
        <b/>
        <sz val="10"/>
        <rFont val="Arial"/>
        <family val="2"/>
      </rPr>
      <t>/yr)</t>
    </r>
  </si>
  <si>
    <r>
      <t>CH</t>
    </r>
    <r>
      <rPr>
        <b/>
        <vertAlign val="subscript"/>
        <sz val="10"/>
        <rFont val="Arial"/>
        <family val="2"/>
      </rPr>
      <t>4,vent,i</t>
    </r>
    <r>
      <rPr>
        <b/>
        <sz val="10"/>
        <rFont val="Arial"/>
        <family val="2"/>
      </rPr>
      <t xml:space="preserve"> (MTCO</t>
    </r>
    <r>
      <rPr>
        <b/>
        <vertAlign val="subscript"/>
        <sz val="10"/>
        <rFont val="Arial"/>
        <family val="2"/>
      </rPr>
      <t>2</t>
    </r>
    <r>
      <rPr>
        <b/>
        <sz val="10"/>
        <rFont val="Arial"/>
        <family val="2"/>
      </rPr>
      <t>e/yr)</t>
    </r>
  </si>
  <si>
    <t>XII.C.  Project Methane Emissions from the BCS Effluent Pond [Equation 5.8]</t>
  </si>
  <si>
    <r>
      <t>PE</t>
    </r>
    <r>
      <rPr>
        <b/>
        <vertAlign val="subscript"/>
        <sz val="10"/>
        <rFont val="Arial"/>
        <family val="2"/>
      </rPr>
      <t>CH4,EP</t>
    </r>
    <r>
      <rPr>
        <b/>
        <sz val="10"/>
        <rFont val="Arial"/>
        <family val="2"/>
      </rPr>
      <t xml:space="preserve"> (MT CH</t>
    </r>
    <r>
      <rPr>
        <b/>
        <vertAlign val="subscript"/>
        <sz val="10"/>
        <rFont val="Arial"/>
        <family val="2"/>
      </rPr>
      <t>4</t>
    </r>
    <r>
      <rPr>
        <b/>
        <sz val="10"/>
        <rFont val="Arial"/>
        <family val="2"/>
      </rPr>
      <t>/yr) =</t>
    </r>
  </si>
  <si>
    <r>
      <t>PE</t>
    </r>
    <r>
      <rPr>
        <b/>
        <vertAlign val="subscript"/>
        <sz val="10"/>
        <rFont val="Arial"/>
        <family val="2"/>
      </rPr>
      <t>CH4,EP</t>
    </r>
    <r>
      <rPr>
        <b/>
        <sz val="10"/>
        <rFont val="Arial"/>
        <family val="2"/>
      </rPr>
      <t xml:space="preserve"> (MT CO</t>
    </r>
    <r>
      <rPr>
        <b/>
        <vertAlign val="subscript"/>
        <sz val="10"/>
        <rFont val="Arial"/>
        <family val="2"/>
      </rPr>
      <t>2</t>
    </r>
    <r>
      <rPr>
        <b/>
        <sz val="10"/>
        <rFont val="Arial"/>
        <family val="2"/>
      </rPr>
      <t>e/yr) =</t>
    </r>
  </si>
  <si>
    <t>XII.D.  Project Methane Emissions from Non-BCS-Related Sources [Equation 5.9]</t>
  </si>
  <si>
    <r>
      <t>PE</t>
    </r>
    <r>
      <rPr>
        <b/>
        <vertAlign val="subscript"/>
        <sz val="10"/>
        <rFont val="Arial"/>
        <family val="2"/>
      </rPr>
      <t xml:space="preserve">CH4,non-BCS </t>
    </r>
    <r>
      <rPr>
        <b/>
        <sz val="10"/>
        <rFont val="Arial"/>
        <family val="2"/>
      </rPr>
      <t>(MT CH</t>
    </r>
    <r>
      <rPr>
        <b/>
        <vertAlign val="subscript"/>
        <sz val="10"/>
        <rFont val="Arial"/>
        <family val="2"/>
      </rPr>
      <t>4</t>
    </r>
    <r>
      <rPr>
        <b/>
        <sz val="10"/>
        <rFont val="Arial"/>
        <family val="2"/>
      </rPr>
      <t xml:space="preserve">/yr) = </t>
    </r>
  </si>
  <si>
    <r>
      <t>PE</t>
    </r>
    <r>
      <rPr>
        <b/>
        <vertAlign val="subscript"/>
        <sz val="10"/>
        <rFont val="Arial"/>
        <family val="2"/>
      </rPr>
      <t xml:space="preserve">CH4,non-BCS </t>
    </r>
    <r>
      <rPr>
        <b/>
        <sz val="10"/>
        <rFont val="Arial"/>
        <family val="2"/>
      </rPr>
      <t>(MT CO</t>
    </r>
    <r>
      <rPr>
        <b/>
        <vertAlign val="subscript"/>
        <sz val="10"/>
        <rFont val="Arial"/>
        <family val="2"/>
      </rPr>
      <t>2</t>
    </r>
    <r>
      <rPr>
        <b/>
        <sz val="10"/>
        <rFont val="Arial"/>
        <family val="2"/>
      </rPr>
      <t xml:space="preserve">e/yr) = </t>
    </r>
  </si>
  <si>
    <t>XII.E.  Total Project Methane Emissions [Equation 5.5]</t>
  </si>
  <si>
    <r>
      <t>PE</t>
    </r>
    <r>
      <rPr>
        <b/>
        <vertAlign val="subscript"/>
        <sz val="10"/>
        <rFont val="Arial"/>
        <family val="2"/>
      </rPr>
      <t xml:space="preserve">CH4 </t>
    </r>
    <r>
      <rPr>
        <b/>
        <sz val="10"/>
        <rFont val="Arial"/>
        <family val="2"/>
      </rPr>
      <t>(MT CH</t>
    </r>
    <r>
      <rPr>
        <b/>
        <vertAlign val="subscript"/>
        <sz val="10"/>
        <rFont val="Arial"/>
        <family val="2"/>
      </rPr>
      <t>4</t>
    </r>
    <r>
      <rPr>
        <b/>
        <sz val="10"/>
        <rFont val="Arial"/>
        <family val="2"/>
      </rPr>
      <t>/yr)</t>
    </r>
  </si>
  <si>
    <r>
      <t>PE</t>
    </r>
    <r>
      <rPr>
        <b/>
        <vertAlign val="subscript"/>
        <sz val="10"/>
        <rFont val="Arial"/>
        <family val="2"/>
      </rPr>
      <t xml:space="preserve">CH4 </t>
    </r>
    <r>
      <rPr>
        <b/>
        <sz val="10"/>
        <rFont val="Arial"/>
        <family val="2"/>
      </rPr>
      <t>(MT CO</t>
    </r>
    <r>
      <rPr>
        <b/>
        <vertAlign val="subscript"/>
        <sz val="10"/>
        <rFont val="Arial"/>
        <family val="2"/>
      </rPr>
      <t>2</t>
    </r>
    <r>
      <rPr>
        <b/>
        <sz val="10"/>
        <rFont val="Arial"/>
        <family val="2"/>
      </rPr>
      <t xml:space="preserve">e/yr) = </t>
    </r>
  </si>
  <si>
    <t>Worksheet XIII: Carbon Dioxide Emission Calculations</t>
  </si>
  <si>
    <t>Inputs for this worksheet taken from Worksheets III and IV. This worksheet requires no user input or adjustment.</t>
  </si>
  <si>
    <t>XIII.A. Baseline Carbon Dioxide Emissions [Equation 5.12]</t>
  </si>
  <si>
    <t>XIII.A.i.  Baseline Carbon Dioxide Emissions for Mobile Fossil Fuel Combustion: CO2(MSC)</t>
  </si>
  <si>
    <t>Fuel Type (c)</t>
  </si>
  <si>
    <r>
      <t>EF</t>
    </r>
    <r>
      <rPr>
        <b/>
        <vertAlign val="subscript"/>
        <sz val="10"/>
        <rFont val="Arial"/>
        <family val="2"/>
      </rPr>
      <t xml:space="preserve">CO2,f </t>
    </r>
    <r>
      <rPr>
        <b/>
        <sz val="10"/>
        <rFont val="Arial"/>
        <family val="2"/>
      </rPr>
      <t>(kg CO</t>
    </r>
    <r>
      <rPr>
        <b/>
        <vertAlign val="subscript"/>
        <sz val="10"/>
        <rFont val="Arial"/>
        <family val="2"/>
      </rPr>
      <t>2</t>
    </r>
    <r>
      <rPr>
        <b/>
        <sz val="10"/>
        <rFont val="Arial"/>
        <family val="2"/>
      </rPr>
      <t>/gallon)</t>
    </r>
  </si>
  <si>
    <r>
      <t>CO</t>
    </r>
    <r>
      <rPr>
        <b/>
        <vertAlign val="subscript"/>
        <sz val="10"/>
        <rFont val="Arial"/>
        <family val="2"/>
      </rPr>
      <t>2c</t>
    </r>
    <r>
      <rPr>
        <b/>
        <sz val="10"/>
        <rFont val="Arial"/>
        <family val="2"/>
      </rPr>
      <t xml:space="preserve"> (MT)</t>
    </r>
  </si>
  <si>
    <r>
      <t>Total CO</t>
    </r>
    <r>
      <rPr>
        <b/>
        <vertAlign val="subscript"/>
        <sz val="10"/>
        <rFont val="Arial"/>
        <family val="2"/>
      </rPr>
      <t xml:space="preserve">2(MSC) </t>
    </r>
    <r>
      <rPr>
        <b/>
        <sz val="10"/>
        <rFont val="Arial"/>
        <family val="2"/>
      </rPr>
      <t>for Mobile Fossil Fuel Sources:</t>
    </r>
  </si>
  <si>
    <t>XIII.A.ii.  Baseline Carbon Dioxide Emissions for Stationary Fossil Fuel Combustion: CO2(MSC)</t>
  </si>
  <si>
    <r>
      <t>Total CO</t>
    </r>
    <r>
      <rPr>
        <b/>
        <vertAlign val="subscript"/>
        <sz val="10"/>
        <rFont val="Arial"/>
        <family val="2"/>
      </rPr>
      <t xml:space="preserve">2(MSC) </t>
    </r>
    <r>
      <rPr>
        <b/>
        <sz val="10"/>
        <rFont val="Arial"/>
        <family val="2"/>
      </rPr>
      <t>for Stationary Fossil Fuel Sources:</t>
    </r>
  </si>
  <si>
    <t>XIII.A.iii.  Baseline Carbon Dioxide Emissions from Electricity Consumption: CO2,MSC</t>
  </si>
  <si>
    <t>XIII.A.iv. Total Baseline Carbon Dioxide Emissions CO2,MSC:</t>
  </si>
  <si>
    <t>XIII.B.  Project Carbon Dioxide Emissions [Equation 5.13]</t>
  </si>
  <si>
    <t>XIII.B.i.  Project Carbon Dioxide Emissions for Mobile Fossil Fuel Combustion: CO2,MSC</t>
  </si>
  <si>
    <r>
      <t>Total CO</t>
    </r>
    <r>
      <rPr>
        <b/>
        <vertAlign val="subscript"/>
        <sz val="10"/>
        <rFont val="Arial"/>
        <family val="2"/>
      </rPr>
      <t xml:space="preserve">2,MSC </t>
    </r>
    <r>
      <rPr>
        <b/>
        <sz val="10"/>
        <rFont val="Arial"/>
        <family val="2"/>
      </rPr>
      <t>for Mobile Fossil Fuel Sources:</t>
    </r>
  </si>
  <si>
    <t>XIII.B.ii.  Project Carbon Dioxide Emissions for Stationary Fossil Fuel Combustion: CO2,MSC</t>
  </si>
  <si>
    <r>
      <t>Total CO</t>
    </r>
    <r>
      <rPr>
        <b/>
        <vertAlign val="subscript"/>
        <sz val="10"/>
        <rFont val="Arial"/>
        <family val="2"/>
      </rPr>
      <t xml:space="preserve">2,MSC </t>
    </r>
    <r>
      <rPr>
        <b/>
        <sz val="10"/>
        <rFont val="Arial"/>
        <family val="2"/>
      </rPr>
      <t>for Stationary Fossil Fuel Sources:</t>
    </r>
  </si>
  <si>
    <t>XIII.B.iii.  Project Carbon Dioxide Emissions from Electricity Usage: CO2,MSC</t>
  </si>
  <si>
    <t>XIII.B.iv Comparison of Baseline and Project Electricity Consumption with Project Electricity Generation</t>
  </si>
  <si>
    <t>Baseline Consumption</t>
  </si>
  <si>
    <t>MWh/yr</t>
  </si>
  <si>
    <t>Project Consumption</t>
  </si>
  <si>
    <t>Net Increased Consumption</t>
  </si>
  <si>
    <t>Project Generation</t>
  </si>
  <si>
    <t>Is generation &gt; net consumption?</t>
  </si>
  <si>
    <t>(Yes=0, No=1)</t>
  </si>
  <si>
    <t>XIII.B.v. Total Project Carbon Dioxide Emissions CO2,MSC:</t>
  </si>
  <si>
    <t>Worksheet XIV:  Reference Tables</t>
  </si>
  <si>
    <t>100-year GWP of CH4</t>
  </si>
  <si>
    <t>Tables A.1 and A.2. Volatile Solids, Maximum Methane Potential, and Typical Average Mass for All Livestock Categories</t>
  </si>
  <si>
    <r>
      <t>Livestock Category</t>
    </r>
    <r>
      <rPr>
        <b/>
        <i/>
        <sz val="10"/>
        <rFont val="Arial"/>
        <family val="2"/>
      </rPr>
      <t xml:space="preserve"> (L)</t>
    </r>
  </si>
  <si>
    <r>
      <t>VS</t>
    </r>
    <r>
      <rPr>
        <b/>
        <vertAlign val="subscript"/>
        <sz val="10"/>
        <rFont val="Arial"/>
        <family val="2"/>
      </rPr>
      <t>L</t>
    </r>
    <r>
      <rPr>
        <b/>
        <sz val="10"/>
        <rFont val="Arial"/>
        <family val="2"/>
      </rPr>
      <t xml:space="preserve"> </t>
    </r>
  </si>
  <si>
    <r>
      <t>B</t>
    </r>
    <r>
      <rPr>
        <b/>
        <vertAlign val="subscript"/>
        <sz val="10"/>
        <rFont val="Arial"/>
        <family val="2"/>
      </rPr>
      <t>o,L</t>
    </r>
    <r>
      <rPr>
        <b/>
        <sz val="10"/>
        <rFont val="Arial"/>
        <family val="2"/>
      </rPr>
      <t xml:space="preserve"> </t>
    </r>
  </si>
  <si>
    <t>Livestock Typical Average Mass (TAM) in kg</t>
  </si>
  <si>
    <t>(kg/day per 1,000 kg mass)</t>
  </si>
  <si>
    <r>
      <t>(m</t>
    </r>
    <r>
      <rPr>
        <b/>
        <vertAlign val="superscript"/>
        <sz val="10"/>
        <rFont val="Arial"/>
        <family val="2"/>
      </rPr>
      <t>3</t>
    </r>
    <r>
      <rPr>
        <b/>
        <sz val="10"/>
        <rFont val="Arial"/>
        <family val="2"/>
      </rPr>
      <t xml:space="preserve"> CH</t>
    </r>
    <r>
      <rPr>
        <b/>
        <vertAlign val="subscript"/>
        <sz val="10"/>
        <rFont val="Arial"/>
        <family val="2"/>
      </rPr>
      <t>4</t>
    </r>
    <r>
      <rPr>
        <b/>
        <sz val="10"/>
        <rFont val="Arial"/>
        <family val="2"/>
      </rPr>
      <t>/kg VS added)</t>
    </r>
  </si>
  <si>
    <t>See Table A.4</t>
  </si>
  <si>
    <t>Table A.3. Biogas Collection Efficiency by Digester Type</t>
  </si>
  <si>
    <t>Digester Type</t>
  </si>
  <si>
    <t>Biogas Collection Efficiency (BCE)</t>
  </si>
  <si>
    <t>Fully Covered Lagoon</t>
  </si>
  <si>
    <t>Partially Covered Lagoon</t>
  </si>
  <si>
    <t>0.95 x % area covered</t>
  </si>
  <si>
    <t>Enclosed Vessel</t>
  </si>
  <si>
    <t>Table A.4. 2012 Volatile Solid (VS) Default Values for Dairy Cows, Heifers, Heifers-Grazing and Cows-Grazing by State (kg/day/1,000 kg mass)</t>
  </si>
  <si>
    <t>Table A.5. IPCC 2006 Methane Conversion Factors by Manure Management System Component/Methane Source 'S'</t>
  </si>
  <si>
    <t>From 2006 IPCC Guidelines for National Greenhouse Gas Inventories, Chapter 10: Emissions from Livestock and Manure Management, Table 10.17</t>
  </si>
  <si>
    <t>MCF Values by Temperature for Manure Management Systems</t>
  </si>
  <si>
    <t>MCFs by average annual temperature (°C)</t>
  </si>
  <si>
    <t>Cool</t>
  </si>
  <si>
    <t>Temperate</t>
  </si>
  <si>
    <t>Warm</t>
  </si>
  <si>
    <t>System</t>
  </si>
  <si>
    <t>&lt;10</t>
  </si>
  <si>
    <t>&gt;28</t>
  </si>
  <si>
    <t>Comments</t>
  </si>
  <si>
    <t>Judgment of IPCC Expert Group in combination with Hashimoto and Steed (1994).</t>
  </si>
  <si>
    <t>Hashimoto and Steed (1993).</t>
  </si>
  <si>
    <t>Judgment of IPCC Expert Group in combination with Amon et al. (2001), which shows emissions of approximately 2% in winter and 4% in summer. Warm climate is based on judgment of IPCC Expert Group and Amon et al. (1998).</t>
  </si>
  <si>
    <t>Liquid/slurry w/natural crust cover</t>
  </si>
  <si>
    <t>Judgment of IPCC Expert Group in combination with Mangino et al. (2001) and Sommer (2000). The estimated reduction due to the crust cover (40%) is an annual average value based on a limited data set and can be highly variable dependent on temperature, rainfall, and composition.</t>
  </si>
  <si>
    <t>Liquid/slurry uncovered</t>
  </si>
  <si>
    <t xml:space="preserve">Judgment of IPCC Expert Group in combination with Mangino et al. (2001). </t>
  </si>
  <si>
    <t>Judgment of IPCC Expert Group in combination with Mangino et al. (2001). Uncovered lagoon MCFs vary based on several factors, including temperature, retention time, and loss of volatile solids from the system (through removal of lagoon effluent and/or solids).</t>
  </si>
  <si>
    <t>Judgment of IPCC Expert Group in combination with Moller et al. (2004) and Zeeman (1994). Note that the ambient temperature, not the stable temperature is to be used for determining the climatic conditions.</t>
  </si>
  <si>
    <t>Judgment of IPCC Expert Group in combination with Mangino et al. (2001). Note that the ambient temperature, not the stable temperature is to be used for determining the climatic conditions.</t>
  </si>
  <si>
    <t>Anaerobic digester</t>
  </si>
  <si>
    <t>0 - 1</t>
  </si>
  <si>
    <t>Should be subdivided in different categories, considering amount of recovery of the biogas, flaring of the biogas and storage after digestion. Calculation with Formula 1.</t>
  </si>
  <si>
    <t>Judgment of IPCC Expert Group in combination with Safley et al. (1992).</t>
  </si>
  <si>
    <t>Cattle and swine deep bedding (&lt;1 month)</t>
  </si>
  <si>
    <t>Judgment of IPCC Expert Group in combination with Moller et al. (2004). Expect emissions to be similar, and possibly greater, than pit storage, depending on organic content and moisture content.</t>
  </si>
  <si>
    <t>Cattle and swine deep bedding (&gt;1 month)</t>
  </si>
  <si>
    <t>Judgment of IPCC Expert Group in combination with Mangino et al. (2001).</t>
  </si>
  <si>
    <t>Judgment of IPCC Expert Group and Amon et al. (1998). MCFs are less than half of solid storage. Not temperature dependant.</t>
  </si>
  <si>
    <t>Judgment of IPCC Expert Group and Amon et al. (1998). MCFs are slightly less than solid storage. Less temperature dependant.</t>
  </si>
  <si>
    <t>MCFs are near zero. Aerobic treatment can result in the accumulation of sludge which may be treated in other systems. Sludge requires removal and has large VS values. It is important to identify the next management process for the sludge and estimate the emissions from that management process if significant.</t>
  </si>
  <si>
    <t>Table A.6. Biogas Destruction Efficiency Default Values by Destruction Device</t>
  </si>
  <si>
    <t>If available, the actual source test results for the measured methane destruction efficiency must be used in place of the default methane destruction efficiency. Otherwise, the Offset Project Operator or Authorized Project Designee must use the default methane destruction efficiencies provided below.</t>
  </si>
  <si>
    <t>Biogas Destruction Device</t>
  </si>
  <si>
    <t>Biogas Destruction Efficiency (BDE)</t>
  </si>
  <si>
    <t>Open Flare</t>
  </si>
  <si>
    <t>Enclosed Flare</t>
  </si>
  <si>
    <t>Lean-burn Internal Combustion Engine</t>
  </si>
  <si>
    <t>Rich-burn Internal Combustion Engine</t>
  </si>
  <si>
    <t>Boiler</t>
  </si>
  <si>
    <t>Microturbine or large gas turbine</t>
  </si>
  <si>
    <t>Upgrade and use of gas as CNG/LNG fuel</t>
  </si>
  <si>
    <t>Upgrade and injection into natural gas transmission and distribution pipeline</t>
  </si>
  <si>
    <t>Direct pipeline to an end-user</t>
  </si>
  <si>
    <t>Per corresponding destruction device</t>
  </si>
  <si>
    <t>Table A.7. Carbon Dioxide Emission Factors for Fossil Fuel Use</t>
  </si>
  <si>
    <t>Fuel Type</t>
  </si>
  <si>
    <t>Default High Heat Value</t>
  </si>
  <si>
    <r>
      <t>CO</t>
    </r>
    <r>
      <rPr>
        <b/>
        <vertAlign val="subscript"/>
        <sz val="10"/>
        <color indexed="9"/>
        <rFont val="Arial"/>
        <family val="2"/>
      </rPr>
      <t>2</t>
    </r>
    <r>
      <rPr>
        <b/>
        <sz val="10"/>
        <color indexed="9"/>
        <rFont val="Arial"/>
        <family val="2"/>
      </rPr>
      <t xml:space="preserve"> Emission Factor</t>
    </r>
    <r>
      <rPr>
        <sz val="10"/>
        <color indexed="9"/>
        <rFont val="Arial"/>
        <family val="2"/>
      </rPr>
      <t xml:space="preserve">
(Per Unit Energy)</t>
    </r>
  </si>
  <si>
    <r>
      <t>CO</t>
    </r>
    <r>
      <rPr>
        <b/>
        <vertAlign val="subscript"/>
        <sz val="10"/>
        <color indexed="9"/>
        <rFont val="Arial"/>
        <family val="2"/>
      </rPr>
      <t>2</t>
    </r>
    <r>
      <rPr>
        <b/>
        <sz val="10"/>
        <color indexed="9"/>
        <rFont val="Arial"/>
        <family val="2"/>
      </rPr>
      <t xml:space="preserve"> Emission Factor</t>
    </r>
    <r>
      <rPr>
        <sz val="10"/>
        <color indexed="9"/>
        <rFont val="Arial"/>
        <family val="2"/>
      </rPr>
      <t xml:space="preserve">
(Per Unit Mass or Volume)</t>
    </r>
  </si>
  <si>
    <t>Coal and Coke</t>
  </si>
  <si>
    <t>MMBTU / Short ton</t>
  </si>
  <si>
    <r>
      <t>kg CO</t>
    </r>
    <r>
      <rPr>
        <vertAlign val="subscript"/>
        <sz val="10"/>
        <rFont val="Arial"/>
        <family val="2"/>
      </rPr>
      <t>2</t>
    </r>
    <r>
      <rPr>
        <b/>
        <sz val="10"/>
        <rFont val="Arial"/>
        <family val="2"/>
      </rPr>
      <t xml:space="preserve"> / MMBTU</t>
    </r>
  </si>
  <si>
    <r>
      <t>kg CO</t>
    </r>
    <r>
      <rPr>
        <vertAlign val="subscript"/>
        <sz val="10"/>
        <rFont val="Arial"/>
        <family val="2"/>
      </rPr>
      <t>2</t>
    </r>
    <r>
      <rPr>
        <b/>
        <sz val="10"/>
        <rFont val="Arial"/>
        <family val="2"/>
      </rPr>
      <t xml:space="preserve"> / Short ton</t>
    </r>
  </si>
  <si>
    <t>Anthracite Coal</t>
  </si>
  <si>
    <t>Bituminous Coal</t>
  </si>
  <si>
    <t>Sub-bituminous Coal</t>
  </si>
  <si>
    <t>Lignite</t>
  </si>
  <si>
    <t>Coke</t>
  </si>
  <si>
    <t>Mixed (Commercial Sector)</t>
  </si>
  <si>
    <t>Mixed (Industrial Coking)</t>
  </si>
  <si>
    <t>Mixed (Electric Power sector)</t>
  </si>
  <si>
    <t>Natural Gas</t>
  </si>
  <si>
    <t>MMBtu / scf</t>
  </si>
  <si>
    <r>
      <t>kg CO</t>
    </r>
    <r>
      <rPr>
        <vertAlign val="subscript"/>
        <sz val="10"/>
        <rFont val="Arial"/>
        <family val="2"/>
      </rPr>
      <t>2</t>
    </r>
    <r>
      <rPr>
        <b/>
        <sz val="10"/>
        <rFont val="Arial"/>
        <family val="2"/>
      </rPr>
      <t xml:space="preserve"> / scf</t>
    </r>
  </si>
  <si>
    <r>
      <t>1.028 x 10</t>
    </r>
    <r>
      <rPr>
        <vertAlign val="superscript"/>
        <sz val="10"/>
        <rFont val="Arial"/>
        <family val="2"/>
      </rPr>
      <t>-3</t>
    </r>
  </si>
  <si>
    <t>Petroleum Products</t>
  </si>
  <si>
    <t>MMBtu / gallon</t>
  </si>
  <si>
    <r>
      <t>kg CO</t>
    </r>
    <r>
      <rPr>
        <vertAlign val="subscript"/>
        <sz val="10"/>
        <rFont val="Arial"/>
        <family val="2"/>
      </rPr>
      <t>2</t>
    </r>
    <r>
      <rPr>
        <b/>
        <sz val="10"/>
        <rFont val="Arial"/>
        <family val="2"/>
      </rPr>
      <t xml:space="preserve"> / gallon</t>
    </r>
  </si>
  <si>
    <t>Distillate Fuel Oil No. 1</t>
  </si>
  <si>
    <t>Distillate Fuel Oil No. 2</t>
  </si>
  <si>
    <t>Distillate Fuel Oil No. 4</t>
  </si>
  <si>
    <t>Distillate Fuel Oil No. 5</t>
  </si>
  <si>
    <t>Distillate Fuel Oil No. 6</t>
  </si>
  <si>
    <t>Used Oil</t>
  </si>
  <si>
    <t>Propylene</t>
  </si>
  <si>
    <t>Ethane</t>
  </si>
  <si>
    <t>Ethanol</t>
  </si>
  <si>
    <t>Ethylene</t>
  </si>
  <si>
    <t>Isobutane</t>
  </si>
  <si>
    <t>Isobutylene</t>
  </si>
  <si>
    <t>Butane</t>
  </si>
  <si>
    <t>Butylene</t>
  </si>
  <si>
    <t>Naphtha (&lt;401 deg. F)</t>
  </si>
  <si>
    <t>Natural Gasoline</t>
  </si>
  <si>
    <t>Other Oil (&gt;401 deg. F)</t>
  </si>
  <si>
    <t xml:space="preserve">Pentanes Plus </t>
  </si>
  <si>
    <t>Petrochemical Feedstocks</t>
  </si>
  <si>
    <t>Petroleum Coke</t>
  </si>
  <si>
    <t>Special Naphtha</t>
  </si>
  <si>
    <t>Unfinished Oils</t>
  </si>
  <si>
    <t>Heavy Gas Oils</t>
  </si>
  <si>
    <t>Lubricants</t>
  </si>
  <si>
    <t>Aviation Gasoline</t>
  </si>
  <si>
    <t>Kerosene-Type Jet Fuel</t>
  </si>
  <si>
    <t>Asphalt and Road Oil</t>
  </si>
  <si>
    <t>Crude Oil</t>
  </si>
  <si>
    <t>Other fuels (solid)</t>
  </si>
  <si>
    <t>Municipal Solid Waste</t>
  </si>
  <si>
    <t>Tires</t>
  </si>
  <si>
    <t>Plastics</t>
  </si>
  <si>
    <t>Other fuels (gaseous)</t>
  </si>
  <si>
    <t>Blast Furnace Gas</t>
  </si>
  <si>
    <r>
      <t>0.092 x 10</t>
    </r>
    <r>
      <rPr>
        <vertAlign val="superscript"/>
        <sz val="10"/>
        <rFont val="Arial"/>
        <family val="2"/>
      </rPr>
      <t>-3</t>
    </r>
  </si>
  <si>
    <t>Coke Oven Gas</t>
  </si>
  <si>
    <r>
      <t>0.599 x 10</t>
    </r>
    <r>
      <rPr>
        <vertAlign val="superscript"/>
        <sz val="10"/>
        <rFont val="Arial"/>
        <family val="2"/>
      </rPr>
      <t>-3</t>
    </r>
  </si>
  <si>
    <t>Propane Gas</t>
  </si>
  <si>
    <r>
      <t>2.516 x 10</t>
    </r>
    <r>
      <rPr>
        <vertAlign val="superscript"/>
        <sz val="10"/>
        <rFont val="Arial"/>
        <family val="2"/>
      </rPr>
      <t>-3</t>
    </r>
  </si>
  <si>
    <t>Fuel Gas</t>
  </si>
  <si>
    <r>
      <t>1.388 x 10</t>
    </r>
    <r>
      <rPr>
        <vertAlign val="superscript"/>
        <sz val="10"/>
        <rFont val="Arial"/>
        <family val="2"/>
      </rPr>
      <t>-3</t>
    </r>
  </si>
  <si>
    <t>Biomass Fuels (solid)</t>
  </si>
  <si>
    <t>Wood and Wood Residuals</t>
  </si>
  <si>
    <t>Agricultural Byproducts</t>
  </si>
  <si>
    <t>Peat</t>
  </si>
  <si>
    <t>Solid Byproducts</t>
  </si>
  <si>
    <t>Biomass fuels (gaseous)</t>
  </si>
  <si>
    <t>Biogas (captured methane)</t>
  </si>
  <si>
    <r>
      <t>0.841 x 10</t>
    </r>
    <r>
      <rPr>
        <vertAlign val="superscript"/>
        <sz val="10"/>
        <rFont val="Arial"/>
        <family val="2"/>
      </rPr>
      <t>-3</t>
    </r>
  </si>
  <si>
    <t>Biomass fuels (liquid)</t>
  </si>
  <si>
    <t>Biodiesel</t>
  </si>
  <si>
    <t>Rendered Animal Fat</t>
  </si>
  <si>
    <t>Vegetable Oil</t>
  </si>
  <si>
    <t>Table A.7. (excerpt) Carbon Dioxide Emission Factors for Commonly-Used Fossil Fuels</t>
  </si>
  <si>
    <t>Table A.8. CO2 Electricity Emission Factors</t>
  </si>
  <si>
    <t>eGRID Subregion Acronym</t>
  </si>
  <si>
    <t>eGRID Subregion Name</t>
  </si>
  <si>
    <r>
      <t>Annual output emission rate (lb CO</t>
    </r>
    <r>
      <rPr>
        <b/>
        <vertAlign val="subscript"/>
        <sz val="10"/>
        <rFont val="Arial"/>
        <family val="2"/>
      </rPr>
      <t>2</t>
    </r>
    <r>
      <rPr>
        <b/>
        <sz val="10"/>
        <rFont val="Arial"/>
        <family val="2"/>
      </rPr>
      <t>/MWh)</t>
    </r>
  </si>
  <si>
    <r>
      <t>Annual output emission rate (t CO</t>
    </r>
    <r>
      <rPr>
        <b/>
        <vertAlign val="subscript"/>
        <sz val="10"/>
        <rFont val="Arial"/>
        <family val="2"/>
      </rPr>
      <t>2</t>
    </r>
    <r>
      <rPr>
        <b/>
        <sz val="10"/>
        <rFont val="Arial"/>
        <family val="2"/>
      </rPr>
      <t>/MWh)</t>
    </r>
  </si>
  <si>
    <t>AKGD</t>
  </si>
  <si>
    <t>AKMS</t>
  </si>
  <si>
    <t>AZNM</t>
  </si>
  <si>
    <t>CAMX</t>
  </si>
  <si>
    <t>ERCT</t>
  </si>
  <si>
    <t>FRCC</t>
  </si>
  <si>
    <t>HIMS</t>
  </si>
  <si>
    <t>HIOA</t>
  </si>
  <si>
    <t>MORE</t>
  </si>
  <si>
    <t>MROW</t>
  </si>
  <si>
    <t>NEWE</t>
  </si>
  <si>
    <t>NWPP</t>
  </si>
  <si>
    <t>NYCW</t>
  </si>
  <si>
    <t>NYLI</t>
  </si>
  <si>
    <t>NYUP</t>
  </si>
  <si>
    <t>RFCE</t>
  </si>
  <si>
    <t>RFCM</t>
  </si>
  <si>
    <t>RFCW</t>
  </si>
  <si>
    <t>RMPA</t>
  </si>
  <si>
    <t>SPNO</t>
  </si>
  <si>
    <t>SPSO</t>
  </si>
  <si>
    <t>SRMV</t>
  </si>
  <si>
    <t>SRMW</t>
  </si>
  <si>
    <t>SRSO</t>
  </si>
  <si>
    <t>SRTV</t>
  </si>
  <si>
    <t>SRVC</t>
  </si>
  <si>
    <t>Table A.9. Volatile Solids Removed Through Solids Separation</t>
  </si>
  <si>
    <t>Type of Solids Separation</t>
  </si>
  <si>
    <t>Volatile Solids Removed (fraction)</t>
  </si>
  <si>
    <t>Gravity</t>
  </si>
  <si>
    <t>Mechanical:</t>
  </si>
  <si>
    <t>Stationary Screen</t>
  </si>
  <si>
    <t>Vibrating screen</t>
  </si>
  <si>
    <t>Screw press</t>
  </si>
  <si>
    <t>Centrifuge</t>
  </si>
  <si>
    <t>Roller drum</t>
  </si>
  <si>
    <t>Belt press/screen</t>
  </si>
  <si>
    <t>Table A.10. Baseline Assumptions for Greenfield Projects</t>
  </si>
  <si>
    <t>Baseline Assumption</t>
  </si>
  <si>
    <t>Operations with &gt;200 Mature Dairy Cows</t>
  </si>
  <si>
    <t>Operations with &lt;200 Mature Dairy Cows</t>
  </si>
  <si>
    <t>Swine Operations</t>
  </si>
  <si>
    <t>Anaerobic manure storage system</t>
  </si>
  <si>
    <t>Flush system into an anaerobic lagoon with &gt;30 day retention time</t>
  </si>
  <si>
    <t>Non-anaerobic manure storage system(s)</t>
  </si>
  <si>
    <t>Solids storage</t>
  </si>
  <si>
    <r>
      <t>MS</t>
    </r>
    <r>
      <rPr>
        <vertAlign val="subscript"/>
        <sz val="10"/>
        <rFont val="Arial"/>
        <family val="2"/>
      </rPr>
      <t>L</t>
    </r>
  </si>
  <si>
    <t>90% lagoon
10% solids storage</t>
  </si>
  <si>
    <t>50% lagoon
50% solids storage</t>
  </si>
  <si>
    <t>95% lagoon
5% solids storage</t>
  </si>
  <si>
    <t>Lagoon cleaning schedule</t>
  </si>
  <si>
    <t>Annually, in September</t>
  </si>
  <si>
    <t>Days</t>
  </si>
  <si>
    <t>January</t>
  </si>
  <si>
    <t>February</t>
  </si>
  <si>
    <t>March</t>
  </si>
  <si>
    <t>April</t>
  </si>
  <si>
    <t>May</t>
  </si>
  <si>
    <t>June</t>
  </si>
  <si>
    <t>July</t>
  </si>
  <si>
    <t>August</t>
  </si>
  <si>
    <t>September</t>
  </si>
  <si>
    <t>October</t>
  </si>
  <si>
    <t>November</t>
  </si>
  <si>
    <t>December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</si>
</sst>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
    <numFmt numFmtId="165" formatCode="0.0"/>
    <numFmt numFmtId="166" formatCode="#,##0.000"/>
    <numFmt numFmtId="167" formatCode="_(* #,##0_);_(* \(#,##0\);_(* &quot;-&quot;??_);_(@_)"/>
  </numFmts>
  <fonts count="42" x14ac:knownFonts="1">
    <font>
      <sz val="10"/>
      <name val="Arial"/>
    </font>
    <font>
      <sz val="10"/>
      <name val="Arial"/>
      <family val="2"/>
    </font>
    <font>
      <sz val="8"/>
      <name val="Arial"/>
      <family val="2"/>
    </font>
    <font>
      <b/>
      <sz val="12"/>
      <name val="Arial"/>
      <family val="2"/>
    </font>
    <font>
      <b/>
      <vertAlign val="subscript"/>
      <sz val="12"/>
      <name val="Arial"/>
      <family val="2"/>
    </font>
    <font>
      <b/>
      <sz val="14"/>
      <name val="Arial"/>
      <family val="2"/>
    </font>
    <font>
      <i/>
      <sz val="10"/>
      <name val="Arial"/>
      <family val="2"/>
    </font>
    <font>
      <u/>
      <sz val="10"/>
      <name val="Arial"/>
      <family val="2"/>
    </font>
    <font>
      <sz val="8"/>
      <name val="Arial"/>
      <family val="2"/>
    </font>
    <font>
      <b/>
      <sz val="10"/>
      <name val="Arial"/>
      <family val="2"/>
    </font>
    <font>
      <sz val="10"/>
      <color theme="0"/>
      <name val="Arial"/>
      <family val="2"/>
    </font>
    <font>
      <b/>
      <sz val="10"/>
      <color indexed="52"/>
      <name val="Arial"/>
      <family val="2"/>
    </font>
    <font>
      <b/>
      <i/>
      <sz val="10"/>
      <name val="Arial"/>
      <family val="2"/>
    </font>
    <font>
      <b/>
      <sz val="10"/>
      <color indexed="10"/>
      <name val="Arial"/>
      <family val="2"/>
    </font>
    <font>
      <sz val="10"/>
      <color indexed="10"/>
      <name val="Arial"/>
      <family val="2"/>
    </font>
    <font>
      <b/>
      <sz val="12"/>
      <color theme="0"/>
      <name val="Arial"/>
      <family val="2"/>
    </font>
    <font>
      <b/>
      <u/>
      <sz val="10"/>
      <name val="Arial"/>
      <family val="2"/>
    </font>
    <font>
      <b/>
      <u/>
      <sz val="11"/>
      <name val="Arial"/>
      <family val="2"/>
    </font>
    <font>
      <b/>
      <vertAlign val="subscript"/>
      <sz val="10"/>
      <color indexed="10"/>
      <name val="Arial"/>
      <family val="2"/>
    </font>
    <font>
      <b/>
      <vertAlign val="superscript"/>
      <sz val="10"/>
      <name val="Arial"/>
      <family val="2"/>
    </font>
    <font>
      <b/>
      <vertAlign val="subscript"/>
      <sz val="10"/>
      <name val="Arial"/>
      <family val="2"/>
    </font>
    <font>
      <vertAlign val="superscript"/>
      <sz val="10"/>
      <name val="Arial"/>
      <family val="2"/>
    </font>
    <font>
      <sz val="10"/>
      <color rgb="FFFF0000"/>
      <name val="Arial"/>
      <family val="2"/>
    </font>
    <font>
      <vertAlign val="subscript"/>
      <sz val="10"/>
      <name val="Arial"/>
      <family val="2"/>
    </font>
    <font>
      <i/>
      <sz val="10"/>
      <color indexed="10"/>
      <name val="Arial"/>
      <family val="2"/>
    </font>
    <font>
      <b/>
      <u/>
      <sz val="12"/>
      <name val="Arial"/>
      <family val="2"/>
    </font>
    <font>
      <u/>
      <sz val="12"/>
      <name val="Arial"/>
      <family val="2"/>
    </font>
    <font>
      <sz val="10"/>
      <color indexed="9"/>
      <name val="Arial"/>
      <family val="2"/>
    </font>
    <font>
      <sz val="10"/>
      <color indexed="22"/>
      <name val="Arial"/>
      <family val="2"/>
    </font>
    <font>
      <b/>
      <u/>
      <vertAlign val="subscript"/>
      <sz val="12"/>
      <name val="Arial"/>
      <family val="2"/>
    </font>
    <font>
      <u/>
      <sz val="10"/>
      <color indexed="10"/>
      <name val="Arial"/>
      <family val="2"/>
    </font>
    <font>
      <vertAlign val="subscript"/>
      <sz val="10"/>
      <color indexed="10"/>
      <name val="Arial"/>
      <family val="2"/>
    </font>
    <font>
      <b/>
      <sz val="10"/>
      <color rgb="FFFF0000"/>
      <name val="Arial"/>
      <family val="2"/>
    </font>
    <font>
      <b/>
      <sz val="10"/>
      <color theme="0"/>
      <name val="Arial"/>
      <family val="2"/>
    </font>
    <font>
      <b/>
      <sz val="10"/>
      <color rgb="FFFFFFFF"/>
      <name val="Arial"/>
      <family val="2"/>
    </font>
    <font>
      <b/>
      <vertAlign val="subscript"/>
      <sz val="10"/>
      <color indexed="9"/>
      <name val="Arial"/>
      <family val="2"/>
    </font>
    <font>
      <b/>
      <sz val="10"/>
      <color indexed="9"/>
      <name val="Arial"/>
      <family val="2"/>
    </font>
    <font>
      <sz val="10"/>
      <name val="Arial"/>
      <family val="2"/>
    </font>
    <font>
      <sz val="36"/>
      <name val="Franklin Gothic Demi Cond"/>
      <family val="2"/>
    </font>
    <font>
      <sz val="14"/>
      <color theme="0"/>
      <name val="Franklin Gothic Demi Cond"/>
      <family val="2"/>
    </font>
    <font>
      <b/>
      <sz val="16"/>
      <color rgb="FFFF0000"/>
      <name val="Arial"/>
      <family val="2"/>
    </font>
    <font>
      <sz val="10"/>
      <name val="Calibri"/>
      <family val="2"/>
    </font>
  </fonts>
  <fills count="25">
    <fill>
      <patternFill patternType="none"/>
    </fill>
    <fill>
      <patternFill patternType="gray125"/>
    </fill>
    <fill>
      <patternFill patternType="solid">
        <fgColor indexed="13"/>
        <bgColor indexed="64"/>
      </patternFill>
    </fill>
    <fill>
      <patternFill patternType="solid">
        <fgColor indexed="50"/>
        <bgColor indexed="64"/>
      </patternFill>
    </fill>
    <fill>
      <patternFill patternType="solid">
        <fgColor indexed="44"/>
        <bgColor indexed="64"/>
      </patternFill>
    </fill>
    <fill>
      <patternFill patternType="solid">
        <fgColor indexed="45"/>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0000"/>
        <bgColor indexed="64"/>
      </patternFill>
    </fill>
    <fill>
      <patternFill patternType="solid">
        <fgColor rgb="FFFFFF00"/>
        <bgColor indexed="64"/>
      </patternFill>
    </fill>
    <fill>
      <patternFill patternType="solid">
        <fgColor rgb="FF7F7F7F"/>
        <bgColor indexed="64"/>
      </patternFill>
    </fill>
    <fill>
      <patternFill patternType="solid">
        <fgColor rgb="FF92D050"/>
        <bgColor indexed="64"/>
      </patternFill>
    </fill>
    <fill>
      <patternFill patternType="solid">
        <fgColor theme="1" tint="0.499984740745262"/>
        <bgColor indexed="64"/>
      </patternFill>
    </fill>
    <fill>
      <patternFill patternType="solid">
        <fgColor rgb="FF99CCFF"/>
        <bgColor indexed="64"/>
      </patternFill>
    </fill>
    <fill>
      <patternFill patternType="solid">
        <fgColor theme="9"/>
        <bgColor indexed="64"/>
      </patternFill>
    </fill>
    <fill>
      <patternFill patternType="solid">
        <fgColor rgb="FFFFFFCC"/>
        <bgColor indexed="64"/>
      </patternFill>
    </fill>
    <fill>
      <patternFill patternType="solid">
        <fgColor theme="1"/>
        <bgColor indexed="64"/>
      </patternFill>
    </fill>
    <fill>
      <patternFill patternType="solid">
        <fgColor rgb="FF99CC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4.9989318521683403E-2"/>
        <bgColor indexed="64"/>
      </patternFill>
    </fill>
  </fills>
  <borders count="98">
    <border>
      <left/>
      <right/>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8"/>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top/>
      <bottom/>
      <diagonal/>
    </border>
    <border>
      <left/>
      <right/>
      <top/>
      <bottom style="thin">
        <color indexed="64"/>
      </bottom>
      <diagonal/>
    </border>
    <border>
      <left/>
      <right/>
      <top style="thin">
        <color indexed="64"/>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right/>
      <top style="thin">
        <color theme="0" tint="-0.34998626667073579"/>
      </top>
      <bottom/>
      <diagonal/>
    </border>
    <border>
      <left/>
      <right/>
      <top style="thin">
        <color theme="0" tint="-0.24994659260841701"/>
      </top>
      <bottom/>
      <diagonal/>
    </border>
    <border>
      <left/>
      <right/>
      <top style="medium">
        <color indexed="64"/>
      </top>
      <bottom style="thin">
        <color indexed="64"/>
      </bottom>
      <diagonal/>
    </border>
    <border>
      <left style="medium">
        <color theme="9"/>
      </left>
      <right style="medium">
        <color theme="9"/>
      </right>
      <top style="medium">
        <color theme="9"/>
      </top>
      <bottom style="medium">
        <color theme="9"/>
      </bottom>
      <diagonal/>
    </border>
    <border>
      <left style="medium">
        <color theme="9"/>
      </left>
      <right style="medium">
        <color theme="9"/>
      </right>
      <top style="medium">
        <color theme="9"/>
      </top>
      <bottom/>
      <diagonal/>
    </border>
    <border>
      <left style="medium">
        <color theme="9"/>
      </left>
      <right style="medium">
        <color theme="9"/>
      </right>
      <top/>
      <bottom/>
      <diagonal/>
    </border>
    <border>
      <left style="medium">
        <color theme="9"/>
      </left>
      <right style="medium">
        <color theme="9"/>
      </right>
      <top/>
      <bottom style="medium">
        <color theme="9"/>
      </bottom>
      <diagonal/>
    </border>
    <border>
      <left style="medium">
        <color theme="9"/>
      </left>
      <right/>
      <top style="medium">
        <color theme="9"/>
      </top>
      <bottom style="medium">
        <color theme="9"/>
      </bottom>
      <diagonal/>
    </border>
    <border>
      <left/>
      <right style="medium">
        <color theme="9"/>
      </right>
      <top style="medium">
        <color theme="9"/>
      </top>
      <bottom style="medium">
        <color theme="9"/>
      </bottom>
      <diagonal/>
    </border>
    <border>
      <left style="thin">
        <color indexed="64"/>
      </left>
      <right/>
      <top style="medium">
        <color indexed="64"/>
      </top>
      <bottom/>
      <diagonal/>
    </border>
    <border>
      <left/>
      <right style="medium">
        <color theme="9"/>
      </right>
      <top/>
      <bottom/>
      <diagonal/>
    </border>
    <border>
      <left/>
      <right style="medium">
        <color theme="9"/>
      </right>
      <top/>
      <bottom style="medium">
        <color theme="9"/>
      </bottom>
      <diagonal/>
    </border>
    <border>
      <left/>
      <right style="medium">
        <color theme="9"/>
      </right>
      <top style="medium">
        <color theme="9"/>
      </top>
      <bottom/>
      <diagonal/>
    </border>
    <border>
      <left style="medium">
        <color theme="9"/>
      </left>
      <right/>
      <top style="medium">
        <color theme="9"/>
      </top>
      <bottom/>
      <diagonal/>
    </border>
    <border>
      <left style="medium">
        <color theme="9"/>
      </left>
      <right/>
      <top/>
      <bottom/>
      <diagonal/>
    </border>
    <border>
      <left style="medium">
        <color theme="9"/>
      </left>
      <right/>
      <top/>
      <bottom style="medium">
        <color theme="9"/>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9" fontId="1" fillId="0" borderId="0" applyFont="0" applyFill="0" applyBorder="0" applyAlignment="0" applyProtection="0"/>
    <xf numFmtId="43" fontId="37" fillId="0" borderId="0" applyFont="0" applyFill="0" applyBorder="0" applyAlignment="0" applyProtection="0"/>
  </cellStyleXfs>
  <cellXfs count="770">
    <xf numFmtId="0" fontId="0" fillId="0" borderId="0" xfId="0"/>
    <xf numFmtId="0" fontId="10" fillId="0" borderId="0" xfId="0" applyFont="1" applyAlignment="1" applyProtection="1">
      <alignment horizontal="left" vertical="top" wrapText="1"/>
      <protection hidden="1"/>
    </xf>
    <xf numFmtId="0" fontId="7" fillId="0" borderId="79" xfId="0" applyFont="1" applyBorder="1" applyAlignment="1" applyProtection="1">
      <alignment horizontal="left" vertical="top" wrapText="1"/>
      <protection locked="0"/>
    </xf>
    <xf numFmtId="0" fontId="9" fillId="0" borderId="0" xfId="0" applyFont="1"/>
    <xf numFmtId="0" fontId="9" fillId="0" borderId="0" xfId="0" applyFont="1" applyAlignment="1">
      <alignment horizontal="center"/>
    </xf>
    <xf numFmtId="0" fontId="1" fillId="0" borderId="0" xfId="0" applyFont="1" applyAlignment="1">
      <alignment horizontal="left" vertical="top" wrapText="1"/>
    </xf>
    <xf numFmtId="0" fontId="1" fillId="0" borderId="0" xfId="0" applyFont="1" applyAlignment="1" applyProtection="1">
      <alignment vertical="top" wrapText="1"/>
      <protection locked="0"/>
    </xf>
    <xf numFmtId="0" fontId="1" fillId="0" borderId="0" xfId="0" applyFont="1" applyAlignment="1" applyProtection="1">
      <alignment horizontal="left" vertical="top"/>
      <protection locked="0"/>
    </xf>
    <xf numFmtId="0" fontId="1" fillId="0" borderId="0" xfId="0" applyFont="1" applyAlignment="1" applyProtection="1">
      <alignment horizontal="left" vertical="top" wrapText="1"/>
      <protection locked="0"/>
    </xf>
    <xf numFmtId="0" fontId="1" fillId="0" borderId="0" xfId="0" applyFont="1" applyAlignment="1" applyProtection="1">
      <alignment vertical="top"/>
      <protection locked="0"/>
    </xf>
    <xf numFmtId="0" fontId="3" fillId="0" borderId="80" xfId="0" applyFont="1" applyBorder="1"/>
    <xf numFmtId="0" fontId="1" fillId="0" borderId="0" xfId="0" applyFont="1"/>
    <xf numFmtId="0" fontId="13" fillId="0" borderId="0" xfId="0" applyFont="1"/>
    <xf numFmtId="0" fontId="5" fillId="0" borderId="0" xfId="0" applyFont="1"/>
    <xf numFmtId="0" fontId="16" fillId="0" borderId="0" xfId="0" applyFont="1"/>
    <xf numFmtId="0" fontId="9" fillId="2" borderId="25" xfId="0" applyFont="1" applyFill="1" applyBorder="1"/>
    <xf numFmtId="0" fontId="1" fillId="2" borderId="25" xfId="0" applyFont="1" applyFill="1" applyBorder="1" applyAlignment="1">
      <alignment horizontal="left"/>
    </xf>
    <xf numFmtId="2" fontId="1" fillId="2" borderId="17" xfId="0" applyNumberFormat="1" applyFont="1" applyFill="1" applyBorder="1"/>
    <xf numFmtId="0" fontId="9" fillId="18" borderId="25" xfId="0" applyFont="1" applyFill="1" applyBorder="1"/>
    <xf numFmtId="0" fontId="1" fillId="18" borderId="25" xfId="0" applyFont="1" applyFill="1" applyBorder="1" applyAlignment="1">
      <alignment horizontal="left"/>
    </xf>
    <xf numFmtId="2" fontId="1" fillId="18" borderId="17" xfId="0" applyNumberFormat="1" applyFont="1" applyFill="1" applyBorder="1"/>
    <xf numFmtId="0" fontId="9" fillId="10" borderId="25" xfId="0" applyFont="1" applyFill="1" applyBorder="1"/>
    <xf numFmtId="0" fontId="1" fillId="10" borderId="25" xfId="0" applyFont="1" applyFill="1" applyBorder="1" applyAlignment="1">
      <alignment horizontal="left"/>
    </xf>
    <xf numFmtId="2" fontId="1" fillId="10" borderId="17" xfId="0" applyNumberFormat="1" applyFont="1" applyFill="1" applyBorder="1"/>
    <xf numFmtId="0" fontId="1" fillId="0" borderId="0" xfId="0" applyFont="1" applyAlignment="1">
      <alignment horizontal="left"/>
    </xf>
    <xf numFmtId="2" fontId="1" fillId="0" borderId="0" xfId="0" applyNumberFormat="1" applyFont="1"/>
    <xf numFmtId="0" fontId="1" fillId="0" borderId="80" xfId="0" applyFont="1" applyBorder="1"/>
    <xf numFmtId="0" fontId="16" fillId="0" borderId="80" xfId="0" applyFont="1" applyBorder="1"/>
    <xf numFmtId="166" fontId="1" fillId="0" borderId="80" xfId="0" applyNumberFormat="1" applyFont="1" applyBorder="1"/>
    <xf numFmtId="0" fontId="1" fillId="0" borderId="80" xfId="0" applyFont="1" applyBorder="1" applyAlignment="1" applyProtection="1">
      <alignment horizontal="left" vertical="top" wrapText="1"/>
      <protection locked="0"/>
    </xf>
    <xf numFmtId="0" fontId="16" fillId="0" borderId="0" xfId="0" applyFont="1" applyAlignment="1">
      <alignment vertical="center"/>
    </xf>
    <xf numFmtId="0" fontId="17" fillId="0" borderId="0" xfId="0" applyFont="1" applyAlignment="1">
      <alignment vertical="center"/>
    </xf>
    <xf numFmtId="0" fontId="1" fillId="0" borderId="0" xfId="0" applyFont="1" applyAlignment="1">
      <alignment vertical="center" wrapText="1"/>
    </xf>
    <xf numFmtId="0" fontId="1" fillId="2" borderId="4" xfId="0" applyFont="1" applyFill="1" applyBorder="1" applyAlignment="1" applyProtection="1">
      <alignment horizontal="center"/>
      <protection locked="0"/>
    </xf>
    <xf numFmtId="0" fontId="1" fillId="0" borderId="0" xfId="0" applyFont="1" applyAlignment="1">
      <alignment wrapText="1"/>
    </xf>
    <xf numFmtId="0" fontId="12" fillId="0" borderId="0" xfId="0" applyFont="1" applyAlignment="1">
      <alignment wrapText="1"/>
    </xf>
    <xf numFmtId="0" fontId="6" fillId="0" borderId="0" xfId="0" applyFont="1" applyAlignment="1">
      <alignment vertical="center" wrapText="1"/>
    </xf>
    <xf numFmtId="0" fontId="9" fillId="0" borderId="0" xfId="0" applyFont="1" applyAlignment="1">
      <alignment horizontal="center" vertical="center"/>
    </xf>
    <xf numFmtId="0" fontId="1" fillId="2" borderId="4" xfId="0" applyFont="1" applyFill="1" applyBorder="1" applyProtection="1">
      <protection locked="0"/>
    </xf>
    <xf numFmtId="166" fontId="1" fillId="0" borderId="0" xfId="0" applyNumberFormat="1" applyFont="1"/>
    <xf numFmtId="166" fontId="9" fillId="0" borderId="42" xfId="0" applyNumberFormat="1" applyFont="1" applyBorder="1" applyAlignment="1">
      <alignment horizontal="center" vertical="center"/>
    </xf>
    <xf numFmtId="0" fontId="1" fillId="0" borderId="0" xfId="0" applyFont="1" applyAlignment="1">
      <alignment horizontal="left" vertical="top"/>
    </xf>
    <xf numFmtId="0" fontId="3" fillId="0" borderId="80" xfId="0" applyFont="1" applyBorder="1" applyAlignment="1">
      <alignment vertical="center"/>
    </xf>
    <xf numFmtId="0" fontId="9" fillId="0" borderId="80" xfId="0" applyFont="1" applyBorder="1" applyAlignment="1">
      <alignment vertical="center"/>
    </xf>
    <xf numFmtId="0" fontId="1" fillId="0" borderId="80" xfId="0" applyFont="1" applyBorder="1" applyAlignment="1">
      <alignment horizontal="center"/>
    </xf>
    <xf numFmtId="0" fontId="9" fillId="0" borderId="5" xfId="0" applyFont="1" applyBorder="1" applyAlignment="1">
      <alignment horizontal="center"/>
    </xf>
    <xf numFmtId="0" fontId="6" fillId="0" borderId="0" xfId="0" applyFont="1" applyAlignment="1">
      <alignment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Alignment="1">
      <alignment horizontal="center"/>
    </xf>
    <xf numFmtId="0" fontId="1" fillId="0" borderId="0" xfId="0" applyFont="1" applyAlignment="1">
      <alignment vertical="center"/>
    </xf>
    <xf numFmtId="0" fontId="1" fillId="0" borderId="0" xfId="0" applyFont="1" applyAlignment="1">
      <alignment horizontal="center" vertical="center"/>
    </xf>
    <xf numFmtId="0" fontId="9" fillId="0" borderId="82" xfId="0" applyFont="1" applyBorder="1" applyAlignment="1">
      <alignment horizontal="center"/>
    </xf>
    <xf numFmtId="0" fontId="1" fillId="6" borderId="84" xfId="0" applyFont="1" applyFill="1" applyBorder="1"/>
    <xf numFmtId="0" fontId="1" fillId="0" borderId="0" xfId="0" applyFont="1" applyAlignment="1">
      <alignment vertical="top" wrapText="1"/>
    </xf>
    <xf numFmtId="0" fontId="9" fillId="0" borderId="0" xfId="0" applyFont="1" applyAlignment="1">
      <alignment horizontal="center" vertical="top" wrapText="1"/>
    </xf>
    <xf numFmtId="0" fontId="1" fillId="0" borderId="0" xfId="0" applyFont="1" applyAlignment="1" applyProtection="1">
      <alignment horizontal="center"/>
      <protection locked="0"/>
    </xf>
    <xf numFmtId="0" fontId="9" fillId="0" borderId="0" xfId="0" applyFont="1" applyAlignment="1">
      <alignment vertical="top" wrapText="1"/>
    </xf>
    <xf numFmtId="0" fontId="1" fillId="0" borderId="80" xfId="0" applyFont="1" applyBorder="1" applyAlignment="1">
      <alignment vertical="top" wrapText="1"/>
    </xf>
    <xf numFmtId="0" fontId="7" fillId="0" borderId="80" xfId="0" applyFont="1" applyBorder="1"/>
    <xf numFmtId="166" fontId="9" fillId="0" borderId="0" xfId="0" applyNumberFormat="1" applyFont="1" applyAlignment="1">
      <alignment horizontal="center"/>
    </xf>
    <xf numFmtId="166" fontId="9" fillId="0" borderId="0" xfId="0" applyNumberFormat="1" applyFont="1"/>
    <xf numFmtId="0" fontId="24" fillId="0" borderId="0" xfId="0" applyFont="1" applyAlignment="1">
      <alignment wrapText="1"/>
    </xf>
    <xf numFmtId="0" fontId="9" fillId="0" borderId="36" xfId="0" applyFont="1" applyBorder="1" applyAlignment="1">
      <alignment horizontal="center"/>
    </xf>
    <xf numFmtId="0" fontId="1" fillId="8" borderId="0" xfId="0" applyFont="1" applyFill="1"/>
    <xf numFmtId="166" fontId="25" fillId="0" borderId="0" xfId="0" applyNumberFormat="1" applyFont="1" applyAlignment="1">
      <alignment horizontal="left"/>
    </xf>
    <xf numFmtId="166" fontId="5" fillId="0" borderId="0" xfId="0" applyNumberFormat="1" applyFont="1"/>
    <xf numFmtId="166" fontId="1" fillId="0" borderId="0" xfId="0" applyNumberFormat="1" applyFont="1" applyAlignment="1">
      <alignment horizontal="left"/>
    </xf>
    <xf numFmtId="0" fontId="9" fillId="4" borderId="4" xfId="0" applyFont="1" applyFill="1" applyBorder="1"/>
    <xf numFmtId="166" fontId="9" fillId="5" borderId="4" xfId="0" applyNumberFormat="1" applyFont="1" applyFill="1" applyBorder="1" applyAlignment="1">
      <alignment horizontal="left"/>
    </xf>
    <xf numFmtId="166" fontId="9" fillId="0" borderId="0" xfId="0" applyNumberFormat="1" applyFont="1" applyAlignment="1">
      <alignment horizontal="left"/>
    </xf>
    <xf numFmtId="166" fontId="16" fillId="0" borderId="0" xfId="0" applyNumberFormat="1" applyFont="1" applyAlignment="1">
      <alignment horizontal="left"/>
    </xf>
    <xf numFmtId="0" fontId="9" fillId="0" borderId="0" xfId="0" applyFont="1" applyAlignment="1">
      <alignment wrapText="1"/>
    </xf>
    <xf numFmtId="166" fontId="9" fillId="0" borderId="4" xfId="0" applyNumberFormat="1" applyFont="1" applyBorder="1" applyAlignment="1">
      <alignment horizontal="left"/>
    </xf>
    <xf numFmtId="166" fontId="9" fillId="0" borderId="0" xfId="0" applyNumberFormat="1" applyFont="1" applyAlignment="1">
      <alignment wrapText="1"/>
    </xf>
    <xf numFmtId="166" fontId="9" fillId="0" borderId="4" xfId="0" applyNumberFormat="1" applyFont="1" applyBorder="1"/>
    <xf numFmtId="166" fontId="9" fillId="0" borderId="4" xfId="0" applyNumberFormat="1" applyFont="1" applyBorder="1" applyAlignment="1">
      <alignment horizontal="left" vertical="center"/>
    </xf>
    <xf numFmtId="166" fontId="9" fillId="0" borderId="0" xfId="0" applyNumberFormat="1" applyFont="1" applyAlignment="1">
      <alignment horizontal="left" vertical="center"/>
    </xf>
    <xf numFmtId="0" fontId="9" fillId="0" borderId="4" xfId="0" applyFont="1" applyBorder="1" applyAlignment="1">
      <alignment horizontal="left" vertical="top"/>
    </xf>
    <xf numFmtId="0" fontId="14" fillId="0" borderId="0" xfId="0" applyFont="1"/>
    <xf numFmtId="166" fontId="14" fillId="0" borderId="0" xfId="0" applyNumberFormat="1" applyFont="1"/>
    <xf numFmtId="164" fontId="1" fillId="0" borderId="0" xfId="0" applyNumberFormat="1" applyFont="1"/>
    <xf numFmtId="164" fontId="9" fillId="0" borderId="0" xfId="0" applyNumberFormat="1" applyFont="1"/>
    <xf numFmtId="166" fontId="25" fillId="0" borderId="0" xfId="0" applyNumberFormat="1" applyFont="1"/>
    <xf numFmtId="0" fontId="26" fillId="0" borderId="0" xfId="0" applyFont="1"/>
    <xf numFmtId="0" fontId="3" fillId="0" borderId="79" xfId="0" applyFont="1" applyBorder="1"/>
    <xf numFmtId="0" fontId="25" fillId="0" borderId="0" xfId="0" applyFont="1" applyAlignment="1">
      <alignment horizontal="left"/>
    </xf>
    <xf numFmtId="0" fontId="1" fillId="0" borderId="79" xfId="0" applyFont="1" applyBorder="1" applyAlignment="1" applyProtection="1">
      <alignment horizontal="left" vertical="top" wrapText="1"/>
      <protection locked="0"/>
    </xf>
    <xf numFmtId="0" fontId="3" fillId="0" borderId="79" xfId="0" applyFont="1" applyBorder="1" applyAlignment="1">
      <alignment vertical="top"/>
    </xf>
    <xf numFmtId="0" fontId="1" fillId="0" borderId="79" xfId="0" applyFont="1" applyBorder="1" applyAlignment="1">
      <alignment vertical="top"/>
    </xf>
    <xf numFmtId="0" fontId="1" fillId="0" borderId="79" xfId="0" applyFont="1" applyBorder="1"/>
    <xf numFmtId="0" fontId="3" fillId="0" borderId="79" xfId="0" applyFont="1" applyBorder="1" applyAlignment="1">
      <alignment horizontal="left"/>
    </xf>
    <xf numFmtId="0" fontId="9" fillId="3" borderId="25" xfId="0" applyFont="1" applyFill="1" applyBorder="1" applyAlignment="1">
      <alignment horizontal="left"/>
    </xf>
    <xf numFmtId="0" fontId="1" fillId="3" borderId="25" xfId="0" applyFont="1" applyFill="1" applyBorder="1" applyAlignment="1">
      <alignment horizontal="left"/>
    </xf>
    <xf numFmtId="1" fontId="1" fillId="0" borderId="0" xfId="0" applyNumberFormat="1" applyFont="1" applyAlignment="1">
      <alignment horizontal="center"/>
    </xf>
    <xf numFmtId="0" fontId="9" fillId="4" borderId="25" xfId="0" applyFont="1" applyFill="1" applyBorder="1"/>
    <xf numFmtId="0" fontId="1" fillId="4" borderId="25" xfId="0" applyFont="1" applyFill="1" applyBorder="1" applyAlignment="1">
      <alignment horizontal="left"/>
    </xf>
    <xf numFmtId="2" fontId="1" fillId="4" borderId="17" xfId="0" applyNumberFormat="1" applyFont="1" applyFill="1" applyBorder="1"/>
    <xf numFmtId="0" fontId="9" fillId="0" borderId="0" xfId="0" applyFont="1" applyAlignment="1">
      <alignment horizontal="left"/>
    </xf>
    <xf numFmtId="0" fontId="12" fillId="0" borderId="0" xfId="0" applyFont="1" applyAlignment="1">
      <alignment horizontal="left"/>
    </xf>
    <xf numFmtId="0" fontId="1" fillId="0" borderId="79" xfId="0" applyFont="1" applyBorder="1" applyAlignment="1">
      <alignment horizontal="center"/>
    </xf>
    <xf numFmtId="0" fontId="9" fillId="12" borderId="74" xfId="0" applyFont="1" applyFill="1" applyBorder="1" applyAlignment="1">
      <alignment horizontal="left"/>
    </xf>
    <xf numFmtId="0" fontId="1" fillId="12" borderId="75" xfId="0" applyFont="1" applyFill="1" applyBorder="1" applyAlignment="1">
      <alignment horizontal="center"/>
    </xf>
    <xf numFmtId="0" fontId="1" fillId="12" borderId="73" xfId="0" applyFont="1" applyFill="1" applyBorder="1" applyAlignment="1">
      <alignment horizontal="center"/>
    </xf>
    <xf numFmtId="0" fontId="1" fillId="0" borderId="68" xfId="0" applyFont="1" applyBorder="1"/>
    <xf numFmtId="0" fontId="1" fillId="0" borderId="69" xfId="0" applyFont="1" applyBorder="1" applyAlignment="1">
      <alignment horizontal="center"/>
    </xf>
    <xf numFmtId="0" fontId="1" fillId="0" borderId="70" xfId="0" applyFont="1" applyBorder="1"/>
    <xf numFmtId="0" fontId="1" fillId="0" borderId="71" xfId="0" applyFont="1" applyBorder="1" applyAlignment="1">
      <alignment horizontal="center"/>
    </xf>
    <xf numFmtId="0" fontId="1" fillId="0" borderId="72" xfId="0" applyFont="1" applyBorder="1" applyAlignment="1">
      <alignment horizontal="center"/>
    </xf>
    <xf numFmtId="0" fontId="9" fillId="0" borderId="47" xfId="0" applyFont="1" applyBorder="1" applyAlignment="1">
      <alignment horizontal="center" wrapText="1"/>
    </xf>
    <xf numFmtId="0" fontId="9" fillId="0" borderId="55" xfId="0" applyFont="1" applyBorder="1" applyAlignment="1">
      <alignment horizontal="center" wrapText="1"/>
    </xf>
    <xf numFmtId="165" fontId="9" fillId="0" borderId="0" xfId="0" applyNumberFormat="1" applyFont="1" applyAlignment="1">
      <alignment horizontal="center"/>
    </xf>
    <xf numFmtId="0" fontId="9" fillId="18" borderId="82" xfId="0" applyFont="1" applyFill="1" applyBorder="1" applyAlignment="1">
      <alignment horizontal="center"/>
    </xf>
    <xf numFmtId="0" fontId="1" fillId="0" borderId="83" xfId="0" applyFont="1" applyBorder="1" applyAlignment="1">
      <alignment horizontal="center" vertical="center" wrapText="1"/>
    </xf>
    <xf numFmtId="0" fontId="1" fillId="0" borderId="84" xfId="0" applyFont="1" applyBorder="1" applyAlignment="1">
      <alignment horizontal="center" vertical="center" wrapText="1"/>
    </xf>
    <xf numFmtId="0" fontId="1" fillId="0" borderId="85" xfId="0" applyFont="1" applyBorder="1" applyAlignment="1">
      <alignment horizontal="center" vertical="center" wrapText="1"/>
    </xf>
    <xf numFmtId="0" fontId="1" fillId="0" borderId="0" xfId="0" applyFont="1" applyAlignment="1">
      <alignment horizontal="center" vertical="center" wrapText="1"/>
    </xf>
    <xf numFmtId="0" fontId="16" fillId="0" borderId="0" xfId="0" applyFont="1" applyAlignment="1">
      <alignment horizontal="left"/>
    </xf>
    <xf numFmtId="0" fontId="9" fillId="0" borderId="79" xfId="0" applyFont="1" applyBorder="1" applyAlignment="1">
      <alignment horizontal="center"/>
    </xf>
    <xf numFmtId="166" fontId="9" fillId="0" borderId="79" xfId="0" applyNumberFormat="1" applyFont="1" applyBorder="1" applyAlignment="1">
      <alignment horizontal="center" vertical="center"/>
    </xf>
    <xf numFmtId="0" fontId="1" fillId="0" borderId="79" xfId="0" applyFont="1" applyBorder="1" applyAlignment="1">
      <alignment horizontal="left"/>
    </xf>
    <xf numFmtId="166" fontId="9" fillId="0" borderId="0" xfId="0" applyNumberFormat="1" applyFont="1" applyAlignment="1">
      <alignment horizontal="center" vertical="center"/>
    </xf>
    <xf numFmtId="0" fontId="9" fillId="0" borderId="79" xfId="0" applyFont="1" applyBorder="1"/>
    <xf numFmtId="0" fontId="1" fillId="0" borderId="0" xfId="0" applyFont="1" applyAlignment="1" applyProtection="1">
      <alignment horizontal="center" vertical="top" wrapText="1"/>
      <protection locked="0"/>
    </xf>
    <xf numFmtId="0" fontId="9" fillId="0" borderId="82" xfId="0" applyFont="1" applyBorder="1" applyAlignment="1">
      <alignment horizontal="center" vertical="center" wrapText="1"/>
    </xf>
    <xf numFmtId="0" fontId="1" fillId="0" borderId="83" xfId="0" applyFont="1" applyBorder="1" applyAlignment="1">
      <alignment horizontal="center" vertical="top" wrapText="1"/>
    </xf>
    <xf numFmtId="0" fontId="1" fillId="0" borderId="84" xfId="0" applyFont="1" applyBorder="1" applyAlignment="1">
      <alignment horizontal="center" vertical="top" wrapText="1"/>
    </xf>
    <xf numFmtId="0" fontId="1" fillId="0" borderId="85" xfId="0" applyFont="1" applyBorder="1" applyAlignment="1">
      <alignment horizontal="center" vertical="top" wrapText="1"/>
    </xf>
    <xf numFmtId="0" fontId="1" fillId="0" borderId="0" xfId="0" applyFont="1" applyAlignment="1">
      <alignment horizontal="center" vertical="top" wrapText="1"/>
    </xf>
    <xf numFmtId="0" fontId="14" fillId="0" borderId="0" xfId="0" applyFont="1" applyAlignment="1">
      <alignment vertical="center"/>
    </xf>
    <xf numFmtId="0" fontId="28" fillId="0" borderId="0" xfId="0" applyFont="1" applyAlignment="1">
      <alignment horizontal="center"/>
    </xf>
    <xf numFmtId="0" fontId="1" fillId="0" borderId="0" xfId="0" applyFont="1" applyAlignment="1">
      <alignment vertical="top"/>
    </xf>
    <xf numFmtId="2" fontId="1" fillId="0" borderId="79" xfId="0" applyNumberFormat="1" applyFont="1" applyBorder="1"/>
    <xf numFmtId="166" fontId="1" fillId="0" borderId="79" xfId="0" applyNumberFormat="1" applyFont="1" applyBorder="1" applyAlignment="1">
      <alignment horizontal="center"/>
    </xf>
    <xf numFmtId="166" fontId="1" fillId="0" borderId="0" xfId="0" applyNumberFormat="1" applyFont="1" applyAlignment="1">
      <alignment horizontal="center"/>
    </xf>
    <xf numFmtId="0" fontId="1" fillId="0" borderId="0" xfId="0" applyFont="1" applyAlignment="1">
      <alignment horizontal="center" wrapText="1"/>
    </xf>
    <xf numFmtId="0" fontId="9" fillId="0" borderId="4" xfId="0" applyFont="1" applyBorder="1" applyAlignment="1">
      <alignment horizontal="center"/>
    </xf>
    <xf numFmtId="2" fontId="1" fillId="2" borderId="4" xfId="0" applyNumberFormat="1" applyFont="1" applyFill="1" applyBorder="1" applyAlignment="1" applyProtection="1">
      <alignment horizontal="center"/>
      <protection locked="0"/>
    </xf>
    <xf numFmtId="0" fontId="9" fillId="0" borderId="76" xfId="0" applyFont="1" applyBorder="1" applyAlignment="1">
      <alignment vertical="center"/>
    </xf>
    <xf numFmtId="0" fontId="1" fillId="0" borderId="77" xfId="0" applyFont="1" applyBorder="1"/>
    <xf numFmtId="0" fontId="1" fillId="0" borderId="78" xfId="0" applyFont="1" applyBorder="1"/>
    <xf numFmtId="0" fontId="25" fillId="0" borderId="0" xfId="0" applyFont="1" applyAlignment="1">
      <alignment horizontal="left" vertical="top"/>
    </xf>
    <xf numFmtId="166" fontId="9" fillId="0" borderId="0" xfId="0" applyNumberFormat="1" applyFont="1" applyAlignment="1">
      <alignment horizontal="center" vertical="top" wrapText="1"/>
    </xf>
    <xf numFmtId="0" fontId="1" fillId="0" borderId="60" xfId="0" applyFont="1" applyBorder="1" applyAlignment="1">
      <alignment vertical="top" wrapText="1"/>
    </xf>
    <xf numFmtId="0" fontId="1" fillId="0" borderId="24" xfId="0" applyFont="1" applyBorder="1" applyAlignment="1">
      <alignment vertical="top" wrapText="1"/>
    </xf>
    <xf numFmtId="0" fontId="1" fillId="0" borderId="61" xfId="0" applyFont="1" applyBorder="1" applyAlignment="1">
      <alignment vertical="top" wrapText="1"/>
    </xf>
    <xf numFmtId="0" fontId="1" fillId="0" borderId="32" xfId="0" applyFont="1" applyBorder="1" applyAlignment="1">
      <alignment vertical="top" wrapText="1"/>
    </xf>
    <xf numFmtId="0" fontId="1" fillId="0" borderId="62" xfId="0" applyFont="1" applyBorder="1" applyAlignment="1">
      <alignment vertical="top" wrapText="1"/>
    </xf>
    <xf numFmtId="166" fontId="1" fillId="0" borderId="0" xfId="0" applyNumberFormat="1" applyFont="1" applyAlignment="1">
      <alignment wrapText="1"/>
    </xf>
    <xf numFmtId="166" fontId="9" fillId="0" borderId="0" xfId="0" applyNumberFormat="1" applyFont="1" applyAlignment="1">
      <alignment horizontal="center" wrapText="1"/>
    </xf>
    <xf numFmtId="0" fontId="9" fillId="0" borderId="0" xfId="0" applyFont="1" applyAlignment="1">
      <alignment horizontal="center" wrapText="1"/>
    </xf>
    <xf numFmtId="166" fontId="1" fillId="4" borderId="4" xfId="0" applyNumberFormat="1" applyFont="1" applyFill="1" applyBorder="1" applyAlignment="1">
      <alignment horizontal="center"/>
    </xf>
    <xf numFmtId="166" fontId="9" fillId="4" borderId="34" xfId="0" applyNumberFormat="1" applyFont="1" applyFill="1" applyBorder="1" applyAlignment="1">
      <alignment horizontal="center"/>
    </xf>
    <xf numFmtId="1" fontId="9" fillId="0" borderId="0" xfId="0" applyNumberFormat="1" applyFont="1"/>
    <xf numFmtId="2" fontId="9" fillId="0" borderId="0" xfId="0" applyNumberFormat="1" applyFont="1"/>
    <xf numFmtId="0" fontId="1" fillId="0" borderId="45" xfId="0" applyFont="1" applyBorder="1"/>
    <xf numFmtId="1" fontId="1" fillId="0" borderId="0" xfId="0" applyNumberFormat="1" applyFont="1"/>
    <xf numFmtId="0" fontId="1" fillId="8" borderId="0" xfId="0" applyFont="1" applyFill="1" applyAlignment="1">
      <alignment horizontal="center"/>
    </xf>
    <xf numFmtId="166" fontId="1" fillId="4" borderId="4" xfId="0" applyNumberFormat="1" applyFont="1" applyFill="1" applyBorder="1"/>
    <xf numFmtId="0" fontId="9" fillId="0" borderId="3" xfId="0" applyFont="1" applyBorder="1"/>
    <xf numFmtId="166" fontId="9" fillId="4" borderId="8" xfId="0" applyNumberFormat="1" applyFont="1" applyFill="1" applyBorder="1"/>
    <xf numFmtId="0" fontId="9" fillId="0" borderId="14" xfId="0" applyFont="1" applyBorder="1" applyAlignment="1">
      <alignment horizontal="center"/>
    </xf>
    <xf numFmtId="0" fontId="9" fillId="8" borderId="0" xfId="0" applyFont="1" applyFill="1"/>
    <xf numFmtId="166" fontId="12" fillId="0" borderId="0" xfId="0" applyNumberFormat="1" applyFont="1" applyAlignment="1">
      <alignment horizontal="center"/>
    </xf>
    <xf numFmtId="0" fontId="9" fillId="0" borderId="44" xfId="0" applyFont="1" applyBorder="1"/>
    <xf numFmtId="0" fontId="9" fillId="0" borderId="28" xfId="0" applyFont="1" applyBorder="1" applyAlignment="1">
      <alignment horizontal="center"/>
    </xf>
    <xf numFmtId="0" fontId="9" fillId="0" borderId="51" xfId="0" applyFont="1" applyBorder="1" applyAlignment="1">
      <alignment horizontal="center"/>
    </xf>
    <xf numFmtId="2" fontId="1" fillId="3" borderId="27" xfId="0" applyNumberFormat="1" applyFont="1" applyFill="1" applyBorder="1"/>
    <xf numFmtId="0" fontId="9" fillId="3" borderId="17" xfId="0" applyFont="1" applyFill="1" applyBorder="1" applyAlignment="1">
      <alignment horizontal="center"/>
    </xf>
    <xf numFmtId="0" fontId="9" fillId="4" borderId="25" xfId="0" applyFont="1" applyFill="1" applyBorder="1" applyAlignment="1">
      <alignment horizontal="left"/>
    </xf>
    <xf numFmtId="2" fontId="1" fillId="4" borderId="27" xfId="0" applyNumberFormat="1" applyFont="1" applyFill="1" applyBorder="1"/>
    <xf numFmtId="0" fontId="9" fillId="4" borderId="17" xfId="0" applyFont="1" applyFill="1" applyBorder="1" applyAlignment="1">
      <alignment horizontal="center"/>
    </xf>
    <xf numFmtId="0" fontId="6" fillId="0" borderId="0" xfId="0" applyFont="1" applyAlignment="1">
      <alignment horizontal="left" wrapText="1"/>
    </xf>
    <xf numFmtId="0" fontId="1" fillId="0" borderId="0" xfId="0" applyFont="1" applyAlignment="1">
      <alignment horizontal="left" wrapText="1"/>
    </xf>
    <xf numFmtId="166" fontId="1" fillId="0" borderId="0" xfId="0" applyNumberFormat="1" applyFont="1" applyAlignment="1">
      <alignment horizontal="left" wrapText="1"/>
    </xf>
    <xf numFmtId="0" fontId="9" fillId="0" borderId="11" xfId="0" applyFont="1" applyBorder="1" applyAlignment="1">
      <alignment horizontal="center"/>
    </xf>
    <xf numFmtId="0" fontId="1" fillId="3" borderId="9" xfId="0" applyFont="1" applyFill="1" applyBorder="1"/>
    <xf numFmtId="0" fontId="1" fillId="3" borderId="4" xfId="0" applyFont="1" applyFill="1" applyBorder="1"/>
    <xf numFmtId="0" fontId="1" fillId="4" borderId="4" xfId="0" applyFont="1" applyFill="1" applyBorder="1"/>
    <xf numFmtId="166" fontId="9" fillId="4" borderId="6" xfId="0" applyNumberFormat="1" applyFont="1" applyFill="1" applyBorder="1"/>
    <xf numFmtId="0" fontId="5" fillId="0" borderId="0" xfId="0" applyFont="1" applyAlignment="1">
      <alignment horizontal="left"/>
    </xf>
    <xf numFmtId="0" fontId="1" fillId="3" borderId="36" xfId="0" applyFont="1" applyFill="1" applyBorder="1"/>
    <xf numFmtId="0" fontId="1" fillId="3" borderId="10" xfId="0" applyFont="1" applyFill="1" applyBorder="1"/>
    <xf numFmtId="0" fontId="1" fillId="3" borderId="19" xfId="0" applyFont="1" applyFill="1" applyBorder="1"/>
    <xf numFmtId="0" fontId="3" fillId="0" borderId="0" xfId="0" applyFont="1"/>
    <xf numFmtId="166" fontId="1" fillId="3" borderId="25" xfId="0" applyNumberFormat="1" applyFont="1" applyFill="1" applyBorder="1" applyAlignment="1">
      <alignment horizontal="left"/>
    </xf>
    <xf numFmtId="166" fontId="1" fillId="3" borderId="17" xfId="0" applyNumberFormat="1" applyFont="1" applyFill="1" applyBorder="1"/>
    <xf numFmtId="166" fontId="1" fillId="4" borderId="25" xfId="0" applyNumberFormat="1" applyFont="1" applyFill="1" applyBorder="1" applyAlignment="1">
      <alignment horizontal="left"/>
    </xf>
    <xf numFmtId="166" fontId="1" fillId="4" borderId="17" xfId="0" applyNumberFormat="1" applyFont="1" applyFill="1" applyBorder="1"/>
    <xf numFmtId="166" fontId="9" fillId="0" borderId="51" xfId="0" applyNumberFormat="1" applyFont="1" applyBorder="1" applyAlignment="1">
      <alignment horizontal="center"/>
    </xf>
    <xf numFmtId="166" fontId="9" fillId="0" borderId="42" xfId="0" applyNumberFormat="1" applyFont="1" applyBorder="1" applyAlignment="1">
      <alignment horizontal="center"/>
    </xf>
    <xf numFmtId="166" fontId="9" fillId="0" borderId="52" xfId="0" applyNumberFormat="1" applyFont="1" applyBorder="1" applyAlignment="1">
      <alignment horizontal="center"/>
    </xf>
    <xf numFmtId="0" fontId="9" fillId="3" borderId="2" xfId="0" applyFont="1" applyFill="1" applyBorder="1" applyAlignment="1">
      <alignment horizontal="left"/>
    </xf>
    <xf numFmtId="166" fontId="1" fillId="3" borderId="4" xfId="0" applyNumberFormat="1" applyFont="1" applyFill="1" applyBorder="1"/>
    <xf numFmtId="166" fontId="1" fillId="3" borderId="25" xfId="0" applyNumberFormat="1" applyFont="1" applyFill="1" applyBorder="1"/>
    <xf numFmtId="166" fontId="9" fillId="3" borderId="2" xfId="0" applyNumberFormat="1" applyFont="1" applyFill="1" applyBorder="1"/>
    <xf numFmtId="166" fontId="9" fillId="3" borderId="7" xfId="0" applyNumberFormat="1" applyFont="1" applyFill="1" applyBorder="1"/>
    <xf numFmtId="0" fontId="9" fillId="3" borderId="3" xfId="0" applyFont="1" applyFill="1" applyBorder="1" applyAlignment="1">
      <alignment horizontal="left"/>
    </xf>
    <xf numFmtId="166" fontId="1" fillId="3" borderId="10" xfId="0" applyNumberFormat="1" applyFont="1" applyFill="1" applyBorder="1"/>
    <xf numFmtId="166" fontId="1" fillId="3" borderId="30" xfId="0" applyNumberFormat="1" applyFont="1" applyFill="1" applyBorder="1"/>
    <xf numFmtId="166" fontId="9" fillId="3" borderId="3" xfId="0" applyNumberFormat="1" applyFont="1" applyFill="1" applyBorder="1"/>
    <xf numFmtId="166" fontId="9" fillId="3" borderId="8" xfId="0" applyNumberFormat="1" applyFont="1" applyFill="1" applyBorder="1"/>
    <xf numFmtId="166" fontId="9" fillId="4" borderId="18" xfId="0" applyNumberFormat="1" applyFont="1" applyFill="1" applyBorder="1" applyAlignment="1">
      <alignment wrapText="1"/>
    </xf>
    <xf numFmtId="166" fontId="9" fillId="4" borderId="18" xfId="0" applyNumberFormat="1" applyFont="1" applyFill="1" applyBorder="1"/>
    <xf numFmtId="166" fontId="9" fillId="0" borderId="18" xfId="0" applyNumberFormat="1" applyFont="1" applyBorder="1" applyAlignment="1">
      <alignment horizontal="left"/>
    </xf>
    <xf numFmtId="166" fontId="9" fillId="0" borderId="31" xfId="0" applyNumberFormat="1" applyFont="1" applyBorder="1" applyAlignment="1">
      <alignment horizontal="left"/>
    </xf>
    <xf numFmtId="0" fontId="25" fillId="0" borderId="0" xfId="0" applyFont="1"/>
    <xf numFmtId="0" fontId="17" fillId="0" borderId="0" xfId="0" applyFont="1"/>
    <xf numFmtId="0" fontId="9" fillId="3" borderId="4" xfId="0" applyFont="1" applyFill="1" applyBorder="1" applyAlignment="1">
      <alignment horizontal="left"/>
    </xf>
    <xf numFmtId="0" fontId="1" fillId="0" borderId="65" xfId="0" applyFont="1" applyBorder="1"/>
    <xf numFmtId="0" fontId="9" fillId="4" borderId="4" xfId="0" applyFont="1" applyFill="1" applyBorder="1" applyAlignment="1">
      <alignment horizontal="left"/>
    </xf>
    <xf numFmtId="0" fontId="9" fillId="10" borderId="4" xfId="0" applyFont="1" applyFill="1" applyBorder="1" applyAlignment="1">
      <alignment horizontal="left"/>
    </xf>
    <xf numFmtId="0" fontId="1" fillId="3" borderId="4" xfId="0" applyFont="1" applyFill="1" applyBorder="1" applyAlignment="1">
      <alignment horizontal="center"/>
    </xf>
    <xf numFmtId="0" fontId="1" fillId="3" borderId="10" xfId="0" applyFont="1" applyFill="1" applyBorder="1" applyAlignment="1">
      <alignment horizontal="center"/>
    </xf>
    <xf numFmtId="0" fontId="1" fillId="4" borderId="4" xfId="0" applyFont="1" applyFill="1" applyBorder="1" applyAlignment="1">
      <alignment horizontal="center"/>
    </xf>
    <xf numFmtId="0" fontId="1" fillId="3" borderId="9" xfId="0" applyFont="1" applyFill="1" applyBorder="1" applyAlignment="1">
      <alignment horizontal="center"/>
    </xf>
    <xf numFmtId="0" fontId="1" fillId="3" borderId="27" xfId="0" applyFont="1" applyFill="1" applyBorder="1"/>
    <xf numFmtId="0" fontId="1" fillId="3" borderId="17" xfId="0" applyFont="1" applyFill="1" applyBorder="1"/>
    <xf numFmtId="0" fontId="1" fillId="4" borderId="27" xfId="0" applyFont="1" applyFill="1" applyBorder="1"/>
    <xf numFmtId="0" fontId="1" fillId="4" borderId="17" xfId="0" applyFont="1" applyFill="1" applyBorder="1"/>
    <xf numFmtId="0" fontId="32" fillId="0" borderId="0" xfId="0" applyFont="1" applyAlignment="1">
      <alignment horizontal="left" vertical="center"/>
    </xf>
    <xf numFmtId="0" fontId="9" fillId="0" borderId="0" xfId="0" applyFont="1" applyAlignment="1">
      <alignment horizontal="right"/>
    </xf>
    <xf numFmtId="0" fontId="9" fillId="0" borderId="54" xfId="0" applyFont="1" applyBorder="1" applyAlignment="1">
      <alignment horizontal="center"/>
    </xf>
    <xf numFmtId="0" fontId="9" fillId="0" borderId="38" xfId="0" applyFont="1" applyBorder="1" applyAlignment="1">
      <alignment horizontal="center" wrapText="1"/>
    </xf>
    <xf numFmtId="0" fontId="9" fillId="4" borderId="33" xfId="0" applyFont="1" applyFill="1" applyBorder="1"/>
    <xf numFmtId="166" fontId="9" fillId="4" borderId="23" xfId="0" applyNumberFormat="1" applyFont="1" applyFill="1" applyBorder="1" applyAlignment="1">
      <alignment horizontal="center"/>
    </xf>
    <xf numFmtId="0" fontId="9" fillId="0" borderId="54" xfId="0" applyFont="1" applyBorder="1" applyAlignment="1">
      <alignment horizontal="center" wrapText="1"/>
    </xf>
    <xf numFmtId="2" fontId="1" fillId="3" borderId="17" xfId="0" applyNumberFormat="1" applyFont="1" applyFill="1" applyBorder="1"/>
    <xf numFmtId="0" fontId="1" fillId="10" borderId="0" xfId="0" applyFont="1" applyFill="1"/>
    <xf numFmtId="0" fontId="9" fillId="0" borderId="12" xfId="0" applyFont="1" applyBorder="1" applyAlignment="1">
      <alignment horizontal="left"/>
    </xf>
    <xf numFmtId="0" fontId="1" fillId="4" borderId="21" xfId="0" applyFont="1" applyFill="1" applyBorder="1" applyAlignment="1">
      <alignment horizontal="center" wrapText="1"/>
    </xf>
    <xf numFmtId="0" fontId="7" fillId="0" borderId="0" xfId="0" applyFont="1" applyAlignment="1">
      <alignment wrapText="1"/>
    </xf>
    <xf numFmtId="166" fontId="16" fillId="0" borderId="0" xfId="0" applyNumberFormat="1" applyFont="1" applyAlignment="1">
      <alignment wrapText="1"/>
    </xf>
    <xf numFmtId="166" fontId="7" fillId="0" borderId="0" xfId="0" applyNumberFormat="1" applyFont="1" applyAlignment="1">
      <alignment wrapText="1"/>
    </xf>
    <xf numFmtId="0" fontId="9" fillId="0" borderId="3" xfId="0" applyFont="1" applyBorder="1" applyAlignment="1">
      <alignment horizontal="left"/>
    </xf>
    <xf numFmtId="0" fontId="1" fillId="3" borderId="8" xfId="0" applyFont="1" applyFill="1" applyBorder="1" applyAlignment="1">
      <alignment horizontal="center" wrapText="1"/>
    </xf>
    <xf numFmtId="0" fontId="9" fillId="0" borderId="45" xfId="0" applyFont="1" applyBorder="1" applyAlignment="1">
      <alignment horizontal="left"/>
    </xf>
    <xf numFmtId="0" fontId="1" fillId="0" borderId="45" xfId="0" applyFont="1" applyBorder="1" applyAlignment="1">
      <alignment wrapText="1"/>
    </xf>
    <xf numFmtId="0" fontId="1" fillId="4" borderId="29" xfId="0" applyFont="1" applyFill="1" applyBorder="1"/>
    <xf numFmtId="0" fontId="1" fillId="3" borderId="2" xfId="0" applyFont="1" applyFill="1" applyBorder="1" applyAlignment="1">
      <alignment horizontal="left"/>
    </xf>
    <xf numFmtId="0" fontId="7" fillId="0" borderId="0" xfId="0" applyFont="1" applyAlignment="1">
      <alignment horizontal="left"/>
    </xf>
    <xf numFmtId="166" fontId="7" fillId="0" borderId="0" xfId="0" applyNumberFormat="1" applyFont="1" applyAlignment="1">
      <alignment horizontal="left"/>
    </xf>
    <xf numFmtId="0" fontId="7" fillId="0" borderId="0" xfId="0" applyFont="1" applyAlignment="1">
      <alignment horizontal="left" wrapText="1"/>
    </xf>
    <xf numFmtId="0" fontId="1" fillId="0" borderId="32" xfId="0" applyFont="1" applyBorder="1" applyAlignment="1">
      <alignment wrapText="1"/>
    </xf>
    <xf numFmtId="0" fontId="9" fillId="0" borderId="44" xfId="0" applyFont="1" applyBorder="1" applyAlignment="1">
      <alignment horizontal="left"/>
    </xf>
    <xf numFmtId="0" fontId="9" fillId="0" borderId="45" xfId="0" applyFont="1" applyBorder="1"/>
    <xf numFmtId="0" fontId="9" fillId="0" borderId="49" xfId="0" applyFont="1" applyBorder="1"/>
    <xf numFmtId="0" fontId="9" fillId="4" borderId="18" xfId="0" applyFont="1" applyFill="1" applyBorder="1"/>
    <xf numFmtId="166" fontId="9" fillId="4" borderId="56" xfId="0" applyNumberFormat="1" applyFont="1" applyFill="1" applyBorder="1"/>
    <xf numFmtId="0" fontId="1" fillId="3" borderId="5" xfId="0" applyFont="1" applyFill="1" applyBorder="1" applyAlignment="1">
      <alignment horizontal="left"/>
    </xf>
    <xf numFmtId="166" fontId="9" fillId="4" borderId="7" xfId="0" applyNumberFormat="1" applyFont="1" applyFill="1" applyBorder="1"/>
    <xf numFmtId="0" fontId="1" fillId="3" borderId="3" xfId="0" applyFont="1" applyFill="1" applyBorder="1" applyAlignment="1">
      <alignment horizontal="left"/>
    </xf>
    <xf numFmtId="0" fontId="9" fillId="0" borderId="28" xfId="0" applyFont="1" applyBorder="1" applyAlignment="1">
      <alignment horizontal="center" wrapText="1"/>
    </xf>
    <xf numFmtId="0" fontId="9" fillId="0" borderId="88" xfId="0" applyFont="1" applyBorder="1" applyAlignment="1">
      <alignment horizontal="center"/>
    </xf>
    <xf numFmtId="0" fontId="9" fillId="0" borderId="35" xfId="0" applyFont="1" applyBorder="1" applyAlignment="1">
      <alignment horizontal="left"/>
    </xf>
    <xf numFmtId="0" fontId="1" fillId="4" borderId="33" xfId="0" applyFont="1" applyFill="1" applyBorder="1"/>
    <xf numFmtId="0" fontId="1" fillId="4" borderId="19" xfId="0" applyFont="1" applyFill="1" applyBorder="1"/>
    <xf numFmtId="0" fontId="1" fillId="4" borderId="34" xfId="0" applyFont="1" applyFill="1" applyBorder="1"/>
    <xf numFmtId="0" fontId="1" fillId="4" borderId="43" xfId="0" applyFont="1" applyFill="1" applyBorder="1"/>
    <xf numFmtId="0" fontId="9" fillId="0" borderId="51" xfId="0" applyFont="1" applyBorder="1" applyAlignment="1">
      <alignment horizontal="center" wrapText="1"/>
    </xf>
    <xf numFmtId="166" fontId="9" fillId="0" borderId="42" xfId="0" applyNumberFormat="1" applyFont="1" applyBorder="1" applyAlignment="1">
      <alignment horizontal="center" wrapText="1"/>
    </xf>
    <xf numFmtId="166" fontId="9" fillId="0" borderId="42" xfId="0" applyNumberFormat="1" applyFont="1" applyBorder="1" applyAlignment="1">
      <alignment horizontal="center" vertical="center" wrapText="1"/>
    </xf>
    <xf numFmtId="166" fontId="1" fillId="0" borderId="0" xfId="0" applyNumberFormat="1" applyFont="1" applyAlignment="1">
      <alignment vertical="center"/>
    </xf>
    <xf numFmtId="166" fontId="1" fillId="0" borderId="0" xfId="0" applyNumberFormat="1" applyFont="1" applyAlignment="1">
      <alignment horizontal="center" vertical="center"/>
    </xf>
    <xf numFmtId="166" fontId="9" fillId="0" borderId="0" xfId="0" applyNumberFormat="1" applyFont="1" applyAlignment="1">
      <alignment horizontal="center" vertical="center" wrapText="1"/>
    </xf>
    <xf numFmtId="166" fontId="1" fillId="0" borderId="0" xfId="0" applyNumberFormat="1" applyFont="1" applyAlignment="1">
      <alignment vertical="center" wrapText="1"/>
    </xf>
    <xf numFmtId="166" fontId="7" fillId="0" borderId="0" xfId="0" applyNumberFormat="1" applyFont="1" applyAlignment="1">
      <alignment vertical="center" wrapText="1"/>
    </xf>
    <xf numFmtId="166" fontId="9" fillId="4" borderId="21" xfId="0" applyNumberFormat="1" applyFont="1" applyFill="1" applyBorder="1" applyAlignment="1">
      <alignment vertical="center"/>
    </xf>
    <xf numFmtId="166" fontId="9" fillId="0" borderId="0" xfId="0" applyNumberFormat="1" applyFont="1" applyAlignment="1">
      <alignment vertical="center"/>
    </xf>
    <xf numFmtId="166" fontId="16" fillId="0" borderId="0" xfId="0" applyNumberFormat="1" applyFont="1" applyAlignment="1">
      <alignment horizontal="left" vertical="center"/>
    </xf>
    <xf numFmtId="166" fontId="16" fillId="0" borderId="0" xfId="0" applyNumberFormat="1" applyFont="1" applyAlignment="1">
      <alignment vertical="center" wrapText="1"/>
    </xf>
    <xf numFmtId="166" fontId="7" fillId="0" borderId="0" xfId="0" applyNumberFormat="1" applyFont="1" applyAlignment="1">
      <alignment horizontal="left" vertical="center"/>
    </xf>
    <xf numFmtId="166" fontId="9" fillId="4" borderId="36" xfId="0" applyNumberFormat="1" applyFont="1" applyFill="1" applyBorder="1" applyAlignment="1">
      <alignment vertical="center"/>
    </xf>
    <xf numFmtId="166" fontId="9" fillId="4" borderId="4" xfId="0" applyNumberFormat="1" applyFont="1" applyFill="1" applyBorder="1" applyAlignment="1">
      <alignment vertical="center"/>
    </xf>
    <xf numFmtId="166" fontId="9" fillId="4" borderId="10" xfId="0" applyNumberFormat="1" applyFont="1" applyFill="1" applyBorder="1" applyAlignment="1">
      <alignment vertical="center"/>
    </xf>
    <xf numFmtId="166" fontId="9" fillId="4" borderId="56" xfId="0" applyNumberFormat="1" applyFont="1" applyFill="1" applyBorder="1" applyAlignment="1">
      <alignment vertical="center"/>
    </xf>
    <xf numFmtId="0" fontId="25" fillId="0" borderId="0" xfId="0" applyFont="1" applyAlignment="1">
      <alignment horizontal="left" vertical="center"/>
    </xf>
    <xf numFmtId="0" fontId="9" fillId="0" borderId="66" xfId="0" applyFont="1" applyBorder="1" applyAlignment="1">
      <alignment horizontal="center" vertical="center"/>
    </xf>
    <xf numFmtId="166" fontId="9" fillId="3" borderId="4" xfId="0" applyNumberFormat="1" applyFont="1" applyFill="1" applyBorder="1" applyAlignment="1">
      <alignment horizontal="center"/>
    </xf>
    <xf numFmtId="0" fontId="9" fillId="0" borderId="5" xfId="0" applyFont="1" applyBorder="1" applyAlignment="1">
      <alignment horizontal="left"/>
    </xf>
    <xf numFmtId="166" fontId="9" fillId="4" borderId="6" xfId="0" applyNumberFormat="1" applyFont="1" applyFill="1" applyBorder="1" applyAlignment="1">
      <alignment wrapText="1"/>
    </xf>
    <xf numFmtId="0" fontId="9" fillId="0" borderId="63" xfId="0" applyFont="1" applyBorder="1" applyAlignment="1">
      <alignment wrapText="1"/>
    </xf>
    <xf numFmtId="0" fontId="9" fillId="0" borderId="63" xfId="0" applyFont="1" applyBorder="1" applyAlignment="1">
      <alignment horizontal="left"/>
    </xf>
    <xf numFmtId="0" fontId="9" fillId="0" borderId="4" xfId="0" applyFont="1" applyBorder="1" applyAlignment="1">
      <alignment horizontal="left"/>
    </xf>
    <xf numFmtId="0" fontId="1" fillId="0" borderId="67" xfId="0" applyFont="1" applyBorder="1" applyAlignment="1">
      <alignment horizontal="left"/>
    </xf>
    <xf numFmtId="2" fontId="1" fillId="0" borderId="67" xfId="0" applyNumberFormat="1" applyFont="1" applyBorder="1"/>
    <xf numFmtId="0" fontId="1" fillId="0" borderId="0" xfId="0" applyFont="1" applyAlignment="1">
      <alignment horizontal="left" vertical="center"/>
    </xf>
    <xf numFmtId="0" fontId="1" fillId="0" borderId="49" xfId="0" applyFont="1" applyBorder="1"/>
    <xf numFmtId="0" fontId="1" fillId="3" borderId="3" xfId="0" applyFont="1" applyFill="1" applyBorder="1" applyAlignment="1">
      <alignment horizontal="center"/>
    </xf>
    <xf numFmtId="2" fontId="1" fillId="3" borderId="10" xfId="0" applyNumberFormat="1" applyFont="1" applyFill="1" applyBorder="1" applyAlignment="1">
      <alignment horizontal="center"/>
    </xf>
    <xf numFmtId="0" fontId="9" fillId="0" borderId="5" xfId="0" applyFont="1" applyBorder="1"/>
    <xf numFmtId="2" fontId="1" fillId="3" borderId="6" xfId="0" applyNumberFormat="1" applyFont="1" applyFill="1" applyBorder="1" applyAlignment="1">
      <alignment horizontal="center"/>
    </xf>
    <xf numFmtId="2" fontId="1" fillId="3" borderId="8" xfId="0" applyNumberFormat="1" applyFont="1" applyFill="1" applyBorder="1" applyAlignment="1">
      <alignment horizontal="center"/>
    </xf>
    <xf numFmtId="0" fontId="9" fillId="0" borderId="38" xfId="0" applyFont="1" applyBorder="1"/>
    <xf numFmtId="2" fontId="1" fillId="4" borderId="55" xfId="0" applyNumberFormat="1" applyFont="1" applyFill="1" applyBorder="1" applyAlignment="1">
      <alignment horizontal="center"/>
    </xf>
    <xf numFmtId="2" fontId="1" fillId="0" borderId="45" xfId="0" applyNumberFormat="1" applyFont="1" applyBorder="1" applyAlignment="1">
      <alignment horizontal="center"/>
    </xf>
    <xf numFmtId="0" fontId="9" fillId="0" borderId="28" xfId="0" applyFont="1" applyBorder="1"/>
    <xf numFmtId="2" fontId="1" fillId="3" borderId="42" xfId="0" applyNumberFormat="1" applyFont="1" applyFill="1" applyBorder="1" applyAlignment="1">
      <alignment horizontal="center"/>
    </xf>
    <xf numFmtId="0" fontId="9" fillId="4" borderId="55" xfId="0" applyFont="1" applyFill="1" applyBorder="1" applyAlignment="1">
      <alignment horizontal="center"/>
    </xf>
    <xf numFmtId="0" fontId="6" fillId="0" borderId="0" xfId="0" applyFont="1"/>
    <xf numFmtId="166" fontId="9" fillId="0" borderId="22" xfId="0" applyNumberFormat="1" applyFont="1" applyBorder="1" applyAlignment="1">
      <alignment horizontal="center" vertical="center"/>
    </xf>
    <xf numFmtId="166" fontId="1" fillId="4" borderId="7" xfId="0" applyNumberFormat="1" applyFont="1" applyFill="1" applyBorder="1" applyAlignment="1">
      <alignment horizontal="center" vertical="center"/>
    </xf>
    <xf numFmtId="166" fontId="1" fillId="4" borderId="8" xfId="0" applyNumberFormat="1" applyFont="1" applyFill="1" applyBorder="1" applyAlignment="1">
      <alignment horizontal="center" vertical="center"/>
    </xf>
    <xf numFmtId="166" fontId="9" fillId="4" borderId="35" xfId="0" applyNumberFormat="1" applyFont="1" applyFill="1" applyBorder="1" applyAlignment="1">
      <alignment horizontal="center" vertical="center"/>
    </xf>
    <xf numFmtId="166" fontId="9" fillId="0" borderId="6" xfId="0" applyNumberFormat="1" applyFont="1" applyBorder="1" applyAlignment="1">
      <alignment horizontal="center" vertical="center"/>
    </xf>
    <xf numFmtId="166" fontId="9" fillId="0" borderId="18" xfId="0" applyNumberFormat="1" applyFont="1" applyBorder="1" applyAlignment="1">
      <alignment horizontal="center" vertical="center"/>
    </xf>
    <xf numFmtId="166" fontId="9" fillId="4" borderId="18" xfId="0" applyNumberFormat="1" applyFont="1" applyFill="1" applyBorder="1" applyAlignment="1">
      <alignment horizontal="center" vertical="center"/>
    </xf>
    <xf numFmtId="166" fontId="1" fillId="4" borderId="20" xfId="0" applyNumberFormat="1" applyFont="1" applyFill="1" applyBorder="1" applyAlignment="1">
      <alignment horizontal="center" vertical="center"/>
    </xf>
    <xf numFmtId="166" fontId="1" fillId="4" borderId="21" xfId="0" applyNumberFormat="1" applyFont="1" applyFill="1" applyBorder="1" applyAlignment="1">
      <alignment horizontal="center" vertical="center"/>
    </xf>
    <xf numFmtId="166" fontId="1" fillId="4" borderId="23" xfId="0" applyNumberFormat="1" applyFont="1" applyFill="1" applyBorder="1" applyAlignment="1">
      <alignment horizontal="center" vertical="center"/>
    </xf>
    <xf numFmtId="166" fontId="9" fillId="0" borderId="35" xfId="0" applyNumberFormat="1" applyFont="1" applyBorder="1" applyAlignment="1">
      <alignment horizontal="center" vertical="center"/>
    </xf>
    <xf numFmtId="0" fontId="1" fillId="3" borderId="2" xfId="0" applyFont="1" applyFill="1" applyBorder="1" applyAlignment="1">
      <alignment horizontal="center"/>
    </xf>
    <xf numFmtId="0" fontId="1" fillId="3" borderId="12" xfId="0" applyFont="1" applyFill="1" applyBorder="1" applyAlignment="1">
      <alignment horizontal="center"/>
    </xf>
    <xf numFmtId="0" fontId="1" fillId="3" borderId="33" xfId="0" applyFont="1" applyFill="1" applyBorder="1" applyAlignment="1">
      <alignment horizontal="center"/>
    </xf>
    <xf numFmtId="0" fontId="1" fillId="3" borderId="1" xfId="0" applyFont="1" applyFill="1" applyBorder="1" applyAlignment="1">
      <alignment horizontal="center"/>
    </xf>
    <xf numFmtId="0" fontId="1" fillId="3" borderId="15" xfId="0" applyFont="1" applyFill="1" applyBorder="1" applyAlignment="1">
      <alignment horizontal="center"/>
    </xf>
    <xf numFmtId="0" fontId="1" fillId="3" borderId="19" xfId="0" applyFont="1" applyFill="1" applyBorder="1" applyAlignment="1">
      <alignment horizontal="center"/>
    </xf>
    <xf numFmtId="0" fontId="9" fillId="19" borderId="4" xfId="0" applyFont="1" applyFill="1" applyBorder="1"/>
    <xf numFmtId="0" fontId="1" fillId="19" borderId="25" xfId="0" applyFont="1" applyFill="1" applyBorder="1" applyAlignment="1">
      <alignment horizontal="left"/>
    </xf>
    <xf numFmtId="2" fontId="1" fillId="19" borderId="17" xfId="0" applyNumberFormat="1" applyFont="1" applyFill="1" applyBorder="1"/>
    <xf numFmtId="0" fontId="9" fillId="0" borderId="0" xfId="0" applyFont="1" applyAlignment="1">
      <alignment horizontal="left" vertical="center"/>
    </xf>
    <xf numFmtId="0" fontId="9" fillId="7" borderId="4" xfId="0" applyFont="1" applyFill="1" applyBorder="1" applyAlignment="1">
      <alignment horizontal="left"/>
    </xf>
    <xf numFmtId="0" fontId="9" fillId="19" borderId="4" xfId="0" applyFont="1" applyFill="1" applyBorder="1" applyAlignment="1">
      <alignment horizontal="left"/>
    </xf>
    <xf numFmtId="2" fontId="1" fillId="19" borderId="27" xfId="0" applyNumberFormat="1" applyFont="1" applyFill="1" applyBorder="1"/>
    <xf numFmtId="0" fontId="9" fillId="19" borderId="17" xfId="0" applyFont="1" applyFill="1" applyBorder="1" applyAlignment="1">
      <alignment horizontal="center"/>
    </xf>
    <xf numFmtId="166" fontId="1" fillId="19" borderId="25" xfId="0" applyNumberFormat="1" applyFont="1" applyFill="1" applyBorder="1" applyAlignment="1">
      <alignment horizontal="left"/>
    </xf>
    <xf numFmtId="166" fontId="1" fillId="19" borderId="17" xfId="0" applyNumberFormat="1" applyFont="1" applyFill="1" applyBorder="1"/>
    <xf numFmtId="0" fontId="1" fillId="19" borderId="27" xfId="0" applyFont="1" applyFill="1" applyBorder="1"/>
    <xf numFmtId="0" fontId="1" fillId="19" borderId="17" xfId="0" applyFont="1" applyFill="1" applyBorder="1"/>
    <xf numFmtId="0" fontId="13" fillId="6" borderId="0" xfId="0" applyFont="1" applyFill="1"/>
    <xf numFmtId="0" fontId="1" fillId="0" borderId="2" xfId="0" applyFont="1" applyBorder="1" applyAlignment="1">
      <alignment vertical="top" wrapText="1"/>
    </xf>
    <xf numFmtId="0" fontId="1" fillId="0" borderId="3" xfId="0" applyFont="1" applyBorder="1" applyAlignment="1">
      <alignment vertical="top" wrapText="1"/>
    </xf>
    <xf numFmtId="0" fontId="9" fillId="10" borderId="19" xfId="0" applyFont="1" applyFill="1" applyBorder="1" applyAlignment="1">
      <alignment horizontal="center" vertical="top" wrapText="1"/>
    </xf>
    <xf numFmtId="0" fontId="1" fillId="0" borderId="12"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9" fillId="0" borderId="0" xfId="0" applyFont="1" applyAlignment="1">
      <alignment horizontal="left" wrapText="1"/>
    </xf>
    <xf numFmtId="0" fontId="9" fillId="10" borderId="28" xfId="0" applyFont="1" applyFill="1" applyBorder="1" applyAlignment="1">
      <alignment horizontal="center" wrapText="1"/>
    </xf>
    <xf numFmtId="0" fontId="9" fillId="10" borderId="51" xfId="0" applyFont="1" applyFill="1" applyBorder="1" applyAlignment="1">
      <alignment horizontal="center" wrapText="1"/>
    </xf>
    <xf numFmtId="0" fontId="9" fillId="10" borderId="42" xfId="0" applyFont="1" applyFill="1" applyBorder="1" applyAlignment="1">
      <alignment horizontal="center" wrapText="1"/>
    </xf>
    <xf numFmtId="0" fontId="9" fillId="0" borderId="63" xfId="0" applyFont="1" applyBorder="1"/>
    <xf numFmtId="0" fontId="1" fillId="0" borderId="61" xfId="0" applyFont="1" applyBorder="1" applyAlignment="1">
      <alignment vertical="top"/>
    </xf>
    <xf numFmtId="0" fontId="9" fillId="0" borderId="61" xfId="0" applyFont="1" applyBorder="1" applyAlignment="1">
      <alignment vertical="top"/>
    </xf>
    <xf numFmtId="0" fontId="1" fillId="0" borderId="7" xfId="0" applyFont="1" applyBorder="1" applyAlignment="1">
      <alignment vertical="top" wrapText="1"/>
    </xf>
    <xf numFmtId="0" fontId="1" fillId="0" borderId="8" xfId="0" applyFont="1" applyBorder="1" applyAlignment="1">
      <alignment vertical="top" wrapText="1"/>
    </xf>
    <xf numFmtId="2" fontId="1" fillId="0" borderId="0" xfId="0" applyNumberFormat="1" applyFont="1" applyAlignment="1">
      <alignment vertical="top" wrapText="1"/>
    </xf>
    <xf numFmtId="0" fontId="1" fillId="0" borderId="0" xfId="0" applyFont="1" applyAlignment="1">
      <alignment horizontal="left" indent="4"/>
    </xf>
    <xf numFmtId="0" fontId="1" fillId="0" borderId="4" xfId="0" applyFont="1" applyBorder="1" applyAlignment="1">
      <alignment horizontal="center"/>
    </xf>
    <xf numFmtId="10" fontId="1" fillId="0" borderId="0" xfId="0" applyNumberFormat="1" applyFont="1" applyAlignment="1">
      <alignment horizontal="center"/>
    </xf>
    <xf numFmtId="9" fontId="1" fillId="0" borderId="0" xfId="0" applyNumberFormat="1" applyFont="1" applyAlignment="1">
      <alignment horizontal="center"/>
    </xf>
    <xf numFmtId="9" fontId="1" fillId="0" borderId="0" xfId="0" applyNumberFormat="1" applyFont="1" applyAlignment="1">
      <alignment horizontal="center" wrapText="1"/>
    </xf>
    <xf numFmtId="0" fontId="3" fillId="0" borderId="0" xfId="0" applyFont="1" applyAlignment="1">
      <alignment horizontal="left" vertical="top"/>
    </xf>
    <xf numFmtId="0" fontId="9" fillId="10" borderId="34" xfId="0" applyFont="1" applyFill="1" applyBorder="1" applyAlignment="1">
      <alignment horizontal="center" vertical="top" wrapText="1"/>
    </xf>
    <xf numFmtId="0" fontId="9" fillId="10" borderId="40" xfId="0" applyFont="1" applyFill="1" applyBorder="1" applyAlignment="1">
      <alignment horizontal="center" vertical="top" wrapText="1"/>
    </xf>
    <xf numFmtId="0" fontId="9" fillId="10" borderId="65" xfId="0" applyFont="1" applyFill="1" applyBorder="1" applyAlignment="1">
      <alignment horizontal="center" vertical="top" wrapText="1"/>
    </xf>
    <xf numFmtId="0" fontId="3" fillId="0" borderId="32" xfId="0" applyFont="1" applyBorder="1"/>
    <xf numFmtId="0" fontId="1" fillId="0" borderId="32" xfId="0" applyFont="1" applyBorder="1"/>
    <xf numFmtId="0" fontId="1" fillId="0" borderId="9"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0" xfId="0" applyFont="1" applyBorder="1" applyAlignment="1">
      <alignment horizontal="center" vertical="center" wrapText="1"/>
    </xf>
    <xf numFmtId="0" fontId="3" fillId="0" borderId="79" xfId="0" applyFont="1" applyBorder="1" applyAlignment="1">
      <alignment vertical="center"/>
    </xf>
    <xf numFmtId="0" fontId="1" fillId="0" borderId="4" xfId="0" applyFont="1" applyBorder="1" applyAlignment="1">
      <alignment horizontal="center" wrapText="1"/>
    </xf>
    <xf numFmtId="167" fontId="1" fillId="2" borderId="4" xfId="2" applyNumberFormat="1" applyFont="1" applyFill="1" applyBorder="1" applyAlignment="1" applyProtection="1">
      <alignment horizontal="center" vertical="center" wrapText="1"/>
      <protection locked="0"/>
    </xf>
    <xf numFmtId="167" fontId="1" fillId="2" borderId="4" xfId="2" applyNumberFormat="1" applyFont="1" applyFill="1" applyBorder="1" applyProtection="1">
      <protection locked="0"/>
    </xf>
    <xf numFmtId="166" fontId="9" fillId="15" borderId="4" xfId="0" applyNumberFormat="1" applyFont="1" applyFill="1" applyBorder="1" applyAlignment="1">
      <alignment horizontal="left"/>
    </xf>
    <xf numFmtId="166" fontId="1" fillId="15" borderId="4" xfId="0" applyNumberFormat="1" applyFont="1" applyFill="1" applyBorder="1" applyAlignment="1">
      <alignment horizontal="left"/>
    </xf>
    <xf numFmtId="166" fontId="1" fillId="15" borderId="4" xfId="0" applyNumberFormat="1" applyFont="1" applyFill="1" applyBorder="1"/>
    <xf numFmtId="0" fontId="9" fillId="15" borderId="25" xfId="0" applyFont="1" applyFill="1" applyBorder="1" applyAlignment="1">
      <alignment horizontal="left"/>
    </xf>
    <xf numFmtId="0" fontId="1" fillId="15" borderId="25" xfId="0" applyFont="1" applyFill="1" applyBorder="1" applyAlignment="1">
      <alignment horizontal="left"/>
    </xf>
    <xf numFmtId="0" fontId="1" fillId="15" borderId="26" xfId="0" applyFont="1" applyFill="1" applyBorder="1" applyAlignment="1">
      <alignment horizontal="left"/>
    </xf>
    <xf numFmtId="0" fontId="9" fillId="15" borderId="25" xfId="0" applyFont="1" applyFill="1" applyBorder="1"/>
    <xf numFmtId="2" fontId="1" fillId="15" borderId="17" xfId="0" applyNumberFormat="1" applyFont="1" applyFill="1" applyBorder="1"/>
    <xf numFmtId="0" fontId="9" fillId="15" borderId="4" xfId="0" applyFont="1" applyFill="1" applyBorder="1" applyAlignment="1">
      <alignment horizontal="left"/>
    </xf>
    <xf numFmtId="166" fontId="1" fillId="15" borderId="4" xfId="0" applyNumberFormat="1" applyFont="1" applyFill="1" applyBorder="1" applyAlignment="1">
      <alignment horizontal="center"/>
    </xf>
    <xf numFmtId="0" fontId="1" fillId="0" borderId="2" xfId="0" applyFont="1" applyBorder="1" applyAlignment="1">
      <alignment horizontal="left" vertical="center" wrapText="1"/>
    </xf>
    <xf numFmtId="0" fontId="1" fillId="0" borderId="13" xfId="0" applyFont="1" applyBorder="1" applyAlignment="1">
      <alignment horizontal="left" vertical="center" wrapText="1"/>
    </xf>
    <xf numFmtId="0" fontId="1" fillId="0" borderId="3" xfId="0" applyFont="1" applyBorder="1" applyAlignment="1">
      <alignment horizontal="left" vertical="center" wrapText="1"/>
    </xf>
    <xf numFmtId="0" fontId="1" fillId="0" borderId="84" xfId="0" applyFont="1" applyBorder="1" applyAlignment="1">
      <alignment horizontal="center" vertical="top"/>
    </xf>
    <xf numFmtId="0" fontId="1" fillId="0" borderId="84" xfId="0" applyFont="1" applyBorder="1" applyAlignment="1">
      <alignment horizontal="center" wrapText="1"/>
    </xf>
    <xf numFmtId="166" fontId="9" fillId="3" borderId="4" xfId="0" applyNumberFormat="1" applyFont="1" applyFill="1" applyBorder="1" applyAlignment="1">
      <alignment horizontal="center" vertical="center"/>
    </xf>
    <xf numFmtId="166" fontId="9" fillId="3" borderId="7" xfId="0" applyNumberFormat="1" applyFont="1" applyFill="1" applyBorder="1" applyAlignment="1">
      <alignment horizontal="center" vertical="center"/>
    </xf>
    <xf numFmtId="166" fontId="9" fillId="3" borderId="10" xfId="0" applyNumberFormat="1" applyFont="1" applyFill="1" applyBorder="1" applyAlignment="1">
      <alignment horizontal="center" vertical="center"/>
    </xf>
    <xf numFmtId="166" fontId="9" fillId="3" borderId="8" xfId="0" applyNumberFormat="1" applyFont="1" applyFill="1" applyBorder="1" applyAlignment="1">
      <alignment horizontal="center" vertical="center"/>
    </xf>
    <xf numFmtId="0" fontId="1" fillId="0" borderId="83" xfId="0" applyFont="1" applyBorder="1" applyAlignment="1">
      <alignment horizontal="center" vertical="top"/>
    </xf>
    <xf numFmtId="0" fontId="1" fillId="6" borderId="84" xfId="0" applyFont="1" applyFill="1" applyBorder="1" applyAlignment="1">
      <alignment horizontal="center"/>
    </xf>
    <xf numFmtId="0" fontId="1" fillId="6" borderId="85" xfId="0" applyFont="1" applyFill="1" applyBorder="1"/>
    <xf numFmtId="0" fontId="1" fillId="0" borderId="89" xfId="0" applyFont="1" applyBorder="1" applyAlignment="1">
      <alignment horizontal="center" vertical="top" wrapText="1"/>
    </xf>
    <xf numFmtId="0" fontId="1" fillId="0" borderId="89" xfId="0" applyFont="1" applyBorder="1" applyAlignment="1">
      <alignment horizontal="center" wrapText="1"/>
    </xf>
    <xf numFmtId="0" fontId="1" fillId="0" borderId="90" xfId="0" applyFont="1" applyBorder="1" applyAlignment="1">
      <alignment horizontal="center" vertical="top" wrapText="1"/>
    </xf>
    <xf numFmtId="0" fontId="1" fillId="0" borderId="91" xfId="0" applyFont="1" applyBorder="1" applyAlignment="1">
      <alignment horizontal="center" vertical="top" wrapText="1"/>
    </xf>
    <xf numFmtId="0" fontId="1" fillId="0" borderId="84" xfId="0" applyFont="1" applyBorder="1" applyAlignment="1">
      <alignment wrapText="1"/>
    </xf>
    <xf numFmtId="0" fontId="1" fillId="0" borderId="85" xfId="0" applyFont="1" applyBorder="1" applyAlignment="1">
      <alignment wrapText="1"/>
    </xf>
    <xf numFmtId="167" fontId="9" fillId="2" borderId="4" xfId="2" applyNumberFormat="1" applyFont="1" applyFill="1" applyBorder="1" applyAlignment="1" applyProtection="1">
      <alignment horizontal="center" vertical="top" wrapText="1"/>
      <protection locked="0"/>
    </xf>
    <xf numFmtId="43" fontId="1" fillId="15" borderId="4" xfId="2" applyFont="1" applyFill="1" applyBorder="1" applyAlignment="1" applyProtection="1">
      <alignment horizontal="center" vertical="center" wrapText="1"/>
    </xf>
    <xf numFmtId="0" fontId="1" fillId="13" borderId="25" xfId="0" applyFont="1" applyFill="1" applyBorder="1" applyAlignment="1">
      <alignment horizontal="left"/>
    </xf>
    <xf numFmtId="0" fontId="1" fillId="13" borderId="27" xfId="0" applyFont="1" applyFill="1" applyBorder="1" applyAlignment="1">
      <alignment horizontal="center"/>
    </xf>
    <xf numFmtId="0" fontId="1" fillId="13" borderId="17" xfId="0" applyFont="1" applyFill="1" applyBorder="1" applyAlignment="1">
      <alignment horizontal="center"/>
    </xf>
    <xf numFmtId="0" fontId="1" fillId="15" borderId="4" xfId="0" applyFont="1" applyFill="1" applyBorder="1" applyAlignment="1">
      <alignment horizontal="center"/>
    </xf>
    <xf numFmtId="0" fontId="1" fillId="0" borderId="0" xfId="0" applyFont="1" applyAlignment="1" applyProtection="1">
      <alignment horizontal="center" vertical="center"/>
      <protection locked="0"/>
    </xf>
    <xf numFmtId="0" fontId="9" fillId="18" borderId="92" xfId="0" applyFont="1" applyFill="1" applyBorder="1"/>
    <xf numFmtId="0" fontId="1" fillId="0" borderId="93" xfId="0" applyFont="1" applyBorder="1"/>
    <xf numFmtId="0" fontId="1" fillId="0" borderId="94" xfId="0" applyFont="1" applyBorder="1"/>
    <xf numFmtId="0" fontId="1" fillId="18" borderId="91" xfId="0" applyFont="1" applyFill="1" applyBorder="1" applyAlignment="1">
      <alignment horizontal="center"/>
    </xf>
    <xf numFmtId="0" fontId="1" fillId="0" borderId="89" xfId="0" applyFont="1" applyBorder="1" applyAlignment="1">
      <alignment horizontal="center"/>
    </xf>
    <xf numFmtId="0" fontId="1" fillId="0" borderId="90" xfId="0" applyFont="1" applyBorder="1" applyAlignment="1">
      <alignment horizontal="center"/>
    </xf>
    <xf numFmtId="0" fontId="1" fillId="0" borderId="29"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30" xfId="0" applyFont="1" applyBorder="1" applyAlignment="1">
      <alignment horizontal="center" vertical="center" wrapText="1"/>
    </xf>
    <xf numFmtId="0" fontId="15" fillId="12" borderId="59" xfId="0" applyFont="1" applyFill="1" applyBorder="1" applyAlignment="1">
      <alignment horizontal="left" vertical="top" wrapText="1"/>
    </xf>
    <xf numFmtId="0" fontId="1" fillId="20" borderId="0" xfId="0" applyFont="1" applyFill="1" applyAlignment="1">
      <alignment wrapText="1"/>
    </xf>
    <xf numFmtId="0" fontId="11" fillId="20" borderId="0" xfId="0" applyFont="1" applyFill="1" applyAlignment="1">
      <alignment wrapText="1"/>
    </xf>
    <xf numFmtId="0" fontId="15" fillId="20" borderId="0" xfId="0" applyFont="1" applyFill="1" applyAlignment="1">
      <alignment wrapText="1"/>
    </xf>
    <xf numFmtId="0" fontId="16" fillId="20" borderId="0" xfId="0" applyFont="1" applyFill="1" applyAlignment="1">
      <alignment horizontal="center" wrapText="1"/>
    </xf>
    <xf numFmtId="0" fontId="1" fillId="20" borderId="0" xfId="0" applyFont="1" applyFill="1" applyAlignment="1">
      <alignment vertical="top" wrapText="1"/>
    </xf>
    <xf numFmtId="0" fontId="13" fillId="20" borderId="0" xfId="0" applyFont="1" applyFill="1" applyAlignment="1">
      <alignment wrapText="1"/>
    </xf>
    <xf numFmtId="0" fontId="14" fillId="20" borderId="0" xfId="0" applyFont="1" applyFill="1" applyAlignment="1">
      <alignment wrapText="1"/>
    </xf>
    <xf numFmtId="0" fontId="13" fillId="9" borderId="59" xfId="0" applyFont="1" applyFill="1" applyBorder="1" applyAlignment="1">
      <alignment horizontal="center" wrapText="1"/>
    </xf>
    <xf numFmtId="0" fontId="13" fillId="9" borderId="59" xfId="0" applyFont="1" applyFill="1" applyBorder="1" applyAlignment="1">
      <alignment horizontal="center"/>
    </xf>
    <xf numFmtId="0" fontId="3" fillId="9" borderId="59" xfId="0" applyFont="1" applyFill="1" applyBorder="1" applyAlignment="1">
      <alignment horizontal="left" vertical="center" wrapText="1"/>
    </xf>
    <xf numFmtId="0" fontId="1" fillId="9" borderId="59" xfId="0" applyFont="1" applyFill="1" applyBorder="1" applyAlignment="1">
      <alignment horizontal="left" vertical="center" wrapText="1"/>
    </xf>
    <xf numFmtId="0" fontId="6" fillId="9" borderId="59" xfId="0" applyFont="1" applyFill="1" applyBorder="1" applyAlignment="1">
      <alignment horizontal="left" vertical="center" wrapText="1"/>
    </xf>
    <xf numFmtId="0" fontId="9" fillId="9" borderId="59" xfId="0" applyFont="1" applyFill="1" applyBorder="1" applyAlignment="1">
      <alignment wrapText="1"/>
    </xf>
    <xf numFmtId="0" fontId="1" fillId="9" borderId="59" xfId="0" applyFont="1" applyFill="1" applyBorder="1" applyAlignment="1">
      <alignment wrapText="1"/>
    </xf>
    <xf numFmtId="0" fontId="14" fillId="9" borderId="59" xfId="0" applyFont="1" applyFill="1" applyBorder="1" applyAlignment="1">
      <alignment horizontal="left" vertical="center" wrapText="1"/>
    </xf>
    <xf numFmtId="0" fontId="1" fillId="9" borderId="35" xfId="0" applyFont="1" applyFill="1" applyBorder="1" applyAlignment="1">
      <alignment wrapText="1"/>
    </xf>
    <xf numFmtId="0" fontId="1" fillId="0" borderId="48" xfId="0" applyFont="1" applyBorder="1" applyAlignment="1">
      <alignment horizontal="center" wrapText="1"/>
    </xf>
    <xf numFmtId="0" fontId="1" fillId="0" borderId="37" xfId="0" applyFont="1" applyBorder="1" applyAlignment="1">
      <alignment horizontal="center" wrapText="1"/>
    </xf>
    <xf numFmtId="0" fontId="1" fillId="0" borderId="53" xfId="0" applyFont="1" applyBorder="1" applyAlignment="1">
      <alignment horizontal="center" wrapText="1"/>
    </xf>
    <xf numFmtId="0" fontId="10" fillId="0" borderId="0" xfId="0" applyFont="1" applyAlignment="1">
      <alignment vertical="top"/>
    </xf>
    <xf numFmtId="0" fontId="9" fillId="15" borderId="4" xfId="0" applyFont="1" applyFill="1" applyBorder="1" applyAlignment="1">
      <alignment horizontal="center" vertical="center" wrapText="1"/>
    </xf>
    <xf numFmtId="0" fontId="1" fillId="10" borderId="4" xfId="0" applyFont="1" applyFill="1" applyBorder="1" applyAlignment="1">
      <alignment horizontal="center"/>
    </xf>
    <xf numFmtId="0" fontId="1" fillId="0" borderId="83" xfId="0" applyFont="1" applyBorder="1" applyAlignment="1">
      <alignment horizontal="left"/>
    </xf>
    <xf numFmtId="0" fontId="1" fillId="0" borderId="84" xfId="0" applyFont="1" applyBorder="1" applyAlignment="1">
      <alignment horizontal="left"/>
    </xf>
    <xf numFmtId="0" fontId="1" fillId="0" borderId="84" xfId="0" applyFont="1" applyBorder="1"/>
    <xf numFmtId="2" fontId="9" fillId="15" borderId="4" xfId="0" applyNumberFormat="1" applyFont="1" applyFill="1" applyBorder="1" applyAlignment="1">
      <alignment horizontal="center"/>
    </xf>
    <xf numFmtId="0" fontId="1" fillId="2" borderId="37" xfId="0" applyFont="1" applyFill="1" applyBorder="1" applyAlignment="1">
      <alignment wrapText="1"/>
    </xf>
    <xf numFmtId="0" fontId="1" fillId="18" borderId="37" xfId="0" applyFont="1" applyFill="1" applyBorder="1" applyAlignment="1">
      <alignment wrapText="1"/>
    </xf>
    <xf numFmtId="0" fontId="1" fillId="7" borderId="37" xfId="0" applyFont="1" applyFill="1" applyBorder="1" applyAlignment="1">
      <alignment wrapText="1"/>
    </xf>
    <xf numFmtId="0" fontId="1" fillId="15" borderId="37" xfId="0" applyFont="1" applyFill="1" applyBorder="1" applyAlignment="1">
      <alignment wrapText="1"/>
    </xf>
    <xf numFmtId="0" fontId="1" fillId="10" borderId="37" xfId="0" applyFont="1" applyFill="1" applyBorder="1" applyAlignment="1">
      <alignment wrapText="1"/>
    </xf>
    <xf numFmtId="0" fontId="1" fillId="4" borderId="37" xfId="0" applyFont="1" applyFill="1" applyBorder="1" applyAlignment="1">
      <alignment wrapText="1"/>
    </xf>
    <xf numFmtId="0" fontId="1" fillId="5" borderId="37" xfId="0" applyFont="1" applyFill="1" applyBorder="1" applyAlignment="1">
      <alignment wrapText="1"/>
    </xf>
    <xf numFmtId="0" fontId="1" fillId="12" borderId="37" xfId="0" applyFont="1" applyFill="1" applyBorder="1" applyAlignment="1">
      <alignment wrapText="1"/>
    </xf>
    <xf numFmtId="0" fontId="1" fillId="19" borderId="37" xfId="0" applyFont="1" applyFill="1" applyBorder="1" applyAlignment="1">
      <alignment horizontal="left" wrapText="1" indent="1"/>
    </xf>
    <xf numFmtId="0" fontId="38" fillId="9" borderId="58" xfId="0" applyFont="1" applyFill="1" applyBorder="1" applyAlignment="1">
      <alignment vertical="top" wrapText="1"/>
    </xf>
    <xf numFmtId="0" fontId="39" fillId="20" borderId="0" xfId="0" applyFont="1" applyFill="1" applyAlignment="1">
      <alignment wrapText="1"/>
    </xf>
    <xf numFmtId="3" fontId="9" fillId="4" borderId="4" xfId="0" applyNumberFormat="1" applyFont="1" applyFill="1" applyBorder="1" applyAlignment="1">
      <alignment horizontal="right"/>
    </xf>
    <xf numFmtId="4" fontId="9" fillId="15" borderId="4" xfId="0" applyNumberFormat="1" applyFont="1" applyFill="1" applyBorder="1" applyAlignment="1">
      <alignment wrapText="1"/>
    </xf>
    <xf numFmtId="4" fontId="9" fillId="15" borderId="4" xfId="0" applyNumberFormat="1" applyFont="1" applyFill="1" applyBorder="1"/>
    <xf numFmtId="4" fontId="9" fillId="0" borderId="0" xfId="0" applyNumberFormat="1" applyFont="1"/>
    <xf numFmtId="4" fontId="1" fillId="0" borderId="0" xfId="0" applyNumberFormat="1" applyFont="1"/>
    <xf numFmtId="4" fontId="9" fillId="15" borderId="4" xfId="0" applyNumberFormat="1" applyFont="1" applyFill="1" applyBorder="1" applyAlignment="1">
      <alignment horizontal="right"/>
    </xf>
    <xf numFmtId="4" fontId="14" fillId="0" borderId="0" xfId="0" applyNumberFormat="1" applyFont="1"/>
    <xf numFmtId="4" fontId="9" fillId="15" borderId="4" xfId="0" applyNumberFormat="1" applyFont="1" applyFill="1" applyBorder="1" applyAlignment="1">
      <alignment horizontal="right" wrapText="1"/>
    </xf>
    <xf numFmtId="4" fontId="9" fillId="15" borderId="40" xfId="0" applyNumberFormat="1" applyFont="1" applyFill="1" applyBorder="1" applyAlignment="1">
      <alignment horizontal="center"/>
    </xf>
    <xf numFmtId="1" fontId="1" fillId="2" borderId="4" xfId="0" applyNumberFormat="1" applyFont="1" applyFill="1" applyBorder="1" applyAlignment="1" applyProtection="1">
      <alignment horizontal="center"/>
      <protection locked="0"/>
    </xf>
    <xf numFmtId="0" fontId="1" fillId="13" borderId="4" xfId="0" applyFont="1" applyFill="1" applyBorder="1" applyAlignment="1" applyProtection="1">
      <alignment horizontal="center"/>
      <protection locked="0"/>
    </xf>
    <xf numFmtId="0" fontId="10" fillId="0" borderId="0" xfId="0" applyFont="1"/>
    <xf numFmtId="0" fontId="1" fillId="0" borderId="0" xfId="0" applyFont="1" applyAlignment="1">
      <alignment horizontal="right"/>
    </xf>
    <xf numFmtId="0" fontId="1" fillId="0" borderId="55" xfId="0" applyFont="1" applyBorder="1" applyAlignment="1">
      <alignment horizontal="center"/>
    </xf>
    <xf numFmtId="0" fontId="9" fillId="10" borderId="38" xfId="0" applyFont="1" applyFill="1" applyBorder="1"/>
    <xf numFmtId="166" fontId="25" fillId="0" borderId="0" xfId="0" applyNumberFormat="1" applyFont="1" applyAlignment="1">
      <alignment vertical="center"/>
    </xf>
    <xf numFmtId="2" fontId="1" fillId="0" borderId="4" xfId="0" applyNumberFormat="1" applyFont="1" applyBorder="1" applyAlignment="1">
      <alignment horizontal="center" vertical="top" wrapText="1"/>
    </xf>
    <xf numFmtId="2" fontId="1" fillId="0" borderId="4" xfId="0" applyNumberFormat="1" applyFont="1" applyBorder="1" applyAlignment="1">
      <alignment horizontal="center" wrapText="1"/>
    </xf>
    <xf numFmtId="2" fontId="1" fillId="0" borderId="7" xfId="0" applyNumberFormat="1" applyFont="1" applyBorder="1" applyAlignment="1">
      <alignment horizontal="center" vertical="top" wrapText="1"/>
    </xf>
    <xf numFmtId="2" fontId="1" fillId="0" borderId="10" xfId="0" applyNumberFormat="1" applyFont="1" applyBorder="1" applyAlignment="1">
      <alignment horizontal="center" vertical="top" wrapText="1"/>
    </xf>
    <xf numFmtId="2" fontId="1" fillId="0" borderId="8" xfId="0" applyNumberFormat="1" applyFont="1" applyBorder="1" applyAlignment="1">
      <alignment horizontal="center" vertical="top" wrapText="1"/>
    </xf>
    <xf numFmtId="0" fontId="1" fillId="0" borderId="2" xfId="0" applyFont="1" applyBorder="1" applyAlignment="1">
      <alignment wrapText="1"/>
    </xf>
    <xf numFmtId="0" fontId="1" fillId="0" borderId="7" xfId="0" applyFont="1" applyBorder="1" applyAlignment="1">
      <alignment horizontal="center"/>
    </xf>
    <xf numFmtId="0" fontId="1" fillId="0" borderId="3" xfId="0" applyFont="1" applyBorder="1" applyAlignment="1">
      <alignment wrapText="1"/>
    </xf>
    <xf numFmtId="0" fontId="9" fillId="22" borderId="5" xfId="0" applyFont="1" applyFill="1" applyBorder="1" applyAlignment="1">
      <alignment wrapText="1"/>
    </xf>
    <xf numFmtId="0" fontId="9" fillId="22" borderId="6" xfId="0" applyFont="1" applyFill="1" applyBorder="1" applyAlignment="1">
      <alignment horizontal="center" wrapText="1"/>
    </xf>
    <xf numFmtId="0" fontId="1" fillId="0" borderId="8" xfId="0" applyFont="1" applyBorder="1" applyAlignment="1">
      <alignment horizontal="center" wrapText="1"/>
    </xf>
    <xf numFmtId="0" fontId="9" fillId="11" borderId="4" xfId="0" applyFont="1" applyFill="1" applyBorder="1" applyAlignment="1">
      <alignment horizontal="center" vertical="center" wrapText="1"/>
    </xf>
    <xf numFmtId="0" fontId="1" fillId="0" borderId="4" xfId="0" applyFont="1" applyBorder="1" applyAlignment="1">
      <alignment vertical="center" wrapText="1"/>
    </xf>
    <xf numFmtId="0" fontId="1" fillId="0" borderId="4" xfId="0" applyFont="1" applyBorder="1" applyAlignment="1">
      <alignment horizontal="center" vertical="center"/>
    </xf>
    <xf numFmtId="3" fontId="1" fillId="0" borderId="4" xfId="0" applyNumberFormat="1" applyFont="1" applyBorder="1" applyAlignment="1">
      <alignment horizontal="center" vertical="center"/>
    </xf>
    <xf numFmtId="164" fontId="1" fillId="0" borderId="4" xfId="0" applyNumberFormat="1" applyFont="1" applyBorder="1" applyAlignment="1">
      <alignment horizontal="center" vertical="center"/>
    </xf>
    <xf numFmtId="2" fontId="1" fillId="0" borderId="4" xfId="0" applyNumberFormat="1" applyFont="1" applyBorder="1" applyAlignment="1">
      <alignment horizontal="center" vertical="center" wrapText="1"/>
    </xf>
    <xf numFmtId="0" fontId="1" fillId="0" borderId="4" xfId="0" applyFont="1" applyBorder="1" applyAlignment="1">
      <alignment horizontal="left" vertical="center"/>
    </xf>
    <xf numFmtId="0" fontId="1" fillId="0" borderId="4" xfId="0" applyFont="1" applyBorder="1" applyAlignment="1">
      <alignment vertical="center"/>
    </xf>
    <xf numFmtId="2" fontId="1" fillId="0" borderId="4" xfId="0" applyNumberFormat="1" applyFont="1" applyBorder="1" applyAlignment="1">
      <alignment horizontal="center"/>
    </xf>
    <xf numFmtId="0" fontId="1" fillId="0" borderId="2" xfId="0" applyFont="1" applyBorder="1" applyAlignment="1">
      <alignment horizontal="center"/>
    </xf>
    <xf numFmtId="2" fontId="1" fillId="0" borderId="4" xfId="0" applyNumberFormat="1" applyFont="1" applyBorder="1" applyAlignment="1">
      <alignment horizontal="center" vertical="center"/>
    </xf>
    <xf numFmtId="4" fontId="1" fillId="0" borderId="4" xfId="0" applyNumberFormat="1" applyFont="1" applyBorder="1" applyAlignment="1">
      <alignment horizontal="center" vertical="center"/>
    </xf>
    <xf numFmtId="4" fontId="1" fillId="0" borderId="4" xfId="0" applyNumberFormat="1" applyFont="1" applyBorder="1" applyAlignment="1">
      <alignment horizontal="center" vertical="center" wrapText="1"/>
    </xf>
    <xf numFmtId="0" fontId="9" fillId="23" borderId="46" xfId="0" applyFont="1" applyFill="1" applyBorder="1" applyAlignment="1">
      <alignment horizontal="center"/>
    </xf>
    <xf numFmtId="0" fontId="9" fillId="24" borderId="46" xfId="0" applyFont="1" applyFill="1" applyBorder="1" applyAlignment="1">
      <alignment horizontal="center"/>
    </xf>
    <xf numFmtId="0" fontId="9" fillId="10" borderId="5" xfId="0" applyFont="1" applyFill="1" applyBorder="1" applyAlignment="1">
      <alignment horizontal="center" vertical="center" wrapText="1"/>
    </xf>
    <xf numFmtId="0" fontId="9" fillId="10"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9" fillId="11" borderId="2" xfId="0" applyFont="1" applyFill="1" applyBorder="1" applyAlignment="1">
      <alignment vertical="center"/>
    </xf>
    <xf numFmtId="0" fontId="9" fillId="11" borderId="7" xfId="0" applyFont="1" applyFill="1" applyBorder="1" applyAlignment="1">
      <alignment horizontal="center" vertical="center" wrapText="1"/>
    </xf>
    <xf numFmtId="166" fontId="1" fillId="0" borderId="7" xfId="0" applyNumberFormat="1" applyFont="1" applyBorder="1" applyAlignment="1">
      <alignment horizontal="center" vertical="center" wrapText="1"/>
    </xf>
    <xf numFmtId="0" fontId="1" fillId="0" borderId="2" xfId="0" applyFont="1" applyBorder="1" applyAlignment="1">
      <alignment vertical="center"/>
    </xf>
    <xf numFmtId="164" fontId="1" fillId="0" borderId="7" xfId="0" applyNumberFormat="1" applyFont="1" applyBorder="1" applyAlignment="1">
      <alignment horizontal="center" vertical="center" wrapText="1"/>
    </xf>
    <xf numFmtId="0" fontId="1" fillId="0" borderId="2" xfId="0" applyFont="1" applyBorder="1" applyAlignment="1">
      <alignment horizontal="left" vertical="center"/>
    </xf>
    <xf numFmtId="0" fontId="9" fillId="11" borderId="2" xfId="0" applyFont="1" applyFill="1" applyBorder="1" applyAlignment="1">
      <alignment horizontal="center" vertical="center" wrapText="1"/>
    </xf>
    <xf numFmtId="0" fontId="1" fillId="0" borderId="3" xfId="0" applyFont="1" applyBorder="1" applyAlignment="1">
      <alignment vertical="center"/>
    </xf>
    <xf numFmtId="164" fontId="1" fillId="0" borderId="10" xfId="0" applyNumberFormat="1" applyFont="1" applyBorder="1" applyAlignment="1">
      <alignment horizontal="center" vertical="center"/>
    </xf>
    <xf numFmtId="2" fontId="1" fillId="0" borderId="10" xfId="0" applyNumberFormat="1" applyFont="1" applyBorder="1" applyAlignment="1">
      <alignment horizontal="center" vertical="center"/>
    </xf>
    <xf numFmtId="164" fontId="1" fillId="0" borderId="8" xfId="0" applyNumberFormat="1" applyFont="1" applyBorder="1" applyAlignment="1">
      <alignment horizontal="center" vertical="center" wrapText="1"/>
    </xf>
    <xf numFmtId="0" fontId="9" fillId="11" borderId="5" xfId="0" applyFont="1" applyFill="1" applyBorder="1"/>
    <xf numFmtId="0" fontId="9" fillId="11" borderId="36" xfId="0" applyFont="1" applyFill="1" applyBorder="1" applyAlignment="1">
      <alignment horizontal="center" wrapText="1"/>
    </xf>
    <xf numFmtId="0" fontId="9" fillId="11" borderId="6" xfId="0" applyFont="1" applyFill="1" applyBorder="1" applyAlignment="1">
      <alignment horizontal="center" wrapText="1"/>
    </xf>
    <xf numFmtId="0" fontId="1" fillId="0" borderId="2" xfId="0" applyFont="1" applyBorder="1"/>
    <xf numFmtId="0" fontId="1" fillId="0" borderId="7" xfId="0" applyFont="1" applyBorder="1" applyAlignment="1">
      <alignment horizontal="center" wrapText="1"/>
    </xf>
    <xf numFmtId="0" fontId="1" fillId="0" borderId="3" xfId="0" applyFont="1" applyBorder="1"/>
    <xf numFmtId="0" fontId="1" fillId="0" borderId="10" xfId="0" applyFont="1" applyBorder="1" applyAlignment="1">
      <alignment horizontal="center"/>
    </xf>
    <xf numFmtId="0" fontId="9" fillId="10" borderId="5" xfId="0" applyFont="1" applyFill="1" applyBorder="1" applyAlignment="1">
      <alignment horizontal="left" vertical="center"/>
    </xf>
    <xf numFmtId="0" fontId="9" fillId="10" borderId="36" xfId="0" applyFont="1" applyFill="1" applyBorder="1" applyAlignment="1">
      <alignment horizontal="left" vertical="center"/>
    </xf>
    <xf numFmtId="0" fontId="9" fillId="10" borderId="36" xfId="0" applyFont="1" applyFill="1" applyBorder="1" applyAlignment="1">
      <alignment horizontal="center" vertical="center" wrapText="1"/>
    </xf>
    <xf numFmtId="0" fontId="1" fillId="0" borderId="2" xfId="0" applyFont="1" applyBorder="1" applyAlignment="1">
      <alignment horizontal="center" vertical="center"/>
    </xf>
    <xf numFmtId="164" fontId="1" fillId="0" borderId="7" xfId="0" applyNumberFormat="1" applyFont="1" applyBorder="1" applyAlignment="1">
      <alignment horizontal="center" vertical="center"/>
    </xf>
    <xf numFmtId="0" fontId="1" fillId="0" borderId="3" xfId="0" applyFont="1" applyBorder="1" applyAlignment="1">
      <alignment horizontal="center" vertical="center"/>
    </xf>
    <xf numFmtId="0" fontId="1" fillId="0" borderId="10" xfId="0" applyFont="1" applyBorder="1" applyAlignment="1">
      <alignment vertical="center" wrapText="1"/>
    </xf>
    <xf numFmtId="4" fontId="1" fillId="0" borderId="10" xfId="0" applyNumberFormat="1" applyFont="1" applyBorder="1" applyAlignment="1">
      <alignment horizontal="center" vertical="center"/>
    </xf>
    <xf numFmtId="164" fontId="1" fillId="0" borderId="8" xfId="0" applyNumberFormat="1" applyFont="1" applyBorder="1" applyAlignment="1">
      <alignment horizontal="center" vertical="center"/>
    </xf>
    <xf numFmtId="0" fontId="9" fillId="10" borderId="5" xfId="0" applyFont="1" applyFill="1" applyBorder="1" applyAlignment="1">
      <alignment horizontal="left" vertical="center" wrapText="1"/>
    </xf>
    <xf numFmtId="0" fontId="9" fillId="10" borderId="6" xfId="0" applyFont="1" applyFill="1" applyBorder="1" applyAlignment="1">
      <alignment horizontal="left" vertical="center" wrapText="1"/>
    </xf>
    <xf numFmtId="2" fontId="1" fillId="0" borderId="7" xfId="0" applyNumberFormat="1" applyFont="1" applyBorder="1" applyAlignment="1">
      <alignment horizontal="center"/>
    </xf>
    <xf numFmtId="0" fontId="1" fillId="0" borderId="2" xfId="0" applyFont="1" applyBorder="1" applyAlignment="1">
      <alignment horizontal="left" indent="1"/>
    </xf>
    <xf numFmtId="0" fontId="1" fillId="0" borderId="3" xfId="0" applyFont="1" applyBorder="1" applyAlignment="1">
      <alignment horizontal="left" indent="1"/>
    </xf>
    <xf numFmtId="2" fontId="1" fillId="0" borderId="8" xfId="0" applyNumberFormat="1" applyFont="1" applyBorder="1" applyAlignment="1">
      <alignment horizontal="center"/>
    </xf>
    <xf numFmtId="0" fontId="9" fillId="10" borderId="36" xfId="0" applyFont="1" applyFill="1" applyBorder="1" applyAlignment="1">
      <alignment horizontal="lef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9" fillId="0" borderId="27" xfId="0" applyFont="1" applyBorder="1" applyAlignment="1">
      <alignment horizontal="center" wrapText="1"/>
    </xf>
    <xf numFmtId="2" fontId="1" fillId="0" borderId="0" xfId="0" applyNumberFormat="1" applyFont="1" applyAlignment="1">
      <alignment horizontal="center" vertical="top" wrapText="1"/>
    </xf>
    <xf numFmtId="0" fontId="9" fillId="10" borderId="4" xfId="0" applyFont="1" applyFill="1" applyBorder="1" applyAlignment="1">
      <alignment vertical="center" wrapText="1"/>
    </xf>
    <xf numFmtId="0" fontId="1" fillId="0" borderId="4" xfId="0" applyFont="1" applyBorder="1"/>
    <xf numFmtId="0" fontId="9" fillId="10" borderId="4" xfId="0" applyFont="1" applyFill="1" applyBorder="1" applyAlignment="1">
      <alignment horizontal="center" vertical="center" wrapText="1"/>
    </xf>
    <xf numFmtId="166" fontId="6" fillId="0" borderId="0" xfId="0" applyNumberFormat="1" applyFont="1"/>
    <xf numFmtId="0" fontId="1" fillId="19" borderId="0" xfId="0" applyFont="1" applyFill="1" applyAlignment="1" applyProtection="1">
      <alignment horizontal="left" vertical="top" wrapText="1"/>
      <protection locked="0"/>
    </xf>
    <xf numFmtId="0" fontId="9" fillId="0" borderId="4" xfId="0" applyFont="1" applyBorder="1" applyAlignment="1">
      <alignment horizontal="center" wrapText="1"/>
    </xf>
    <xf numFmtId="0" fontId="9" fillId="15" borderId="4" xfId="0" applyFont="1" applyFill="1" applyBorder="1"/>
    <xf numFmtId="0" fontId="1" fillId="17" borderId="4" xfId="0" applyFont="1" applyFill="1" applyBorder="1" applyAlignment="1">
      <alignment horizontal="center"/>
    </xf>
    <xf numFmtId="14" fontId="1" fillId="2" borderId="4" xfId="0" applyNumberFormat="1"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40" fillId="17" borderId="4" xfId="0" applyFont="1" applyFill="1" applyBorder="1" applyAlignment="1">
      <alignment horizontal="center" vertical="center"/>
    </xf>
    <xf numFmtId="9" fontId="1" fillId="2" borderId="4" xfId="1" applyFont="1" applyFill="1" applyBorder="1" applyAlignment="1" applyProtection="1">
      <alignment horizontal="center" vertical="center"/>
      <protection locked="0"/>
    </xf>
    <xf numFmtId="0" fontId="9" fillId="0" borderId="4" xfId="0" applyFont="1" applyBorder="1" applyAlignment="1">
      <alignment horizontal="center" vertical="top" wrapText="1"/>
    </xf>
    <xf numFmtId="0" fontId="1" fillId="2" borderId="4" xfId="0" applyFont="1" applyFill="1" applyBorder="1" applyAlignment="1" applyProtection="1">
      <alignment horizontal="center" vertical="top" wrapText="1"/>
      <protection locked="0"/>
    </xf>
    <xf numFmtId="0" fontId="9" fillId="15" borderId="4" xfId="0" applyFont="1" applyFill="1" applyBorder="1" applyAlignment="1">
      <alignment horizontal="center" vertical="top" wrapText="1"/>
    </xf>
    <xf numFmtId="0" fontId="9" fillId="15" borderId="4" xfId="0" applyFont="1" applyFill="1" applyBorder="1" applyAlignment="1">
      <alignment horizontal="center"/>
    </xf>
    <xf numFmtId="0" fontId="9" fillId="0" borderId="4" xfId="0" applyFont="1" applyBorder="1"/>
    <xf numFmtId="167" fontId="1" fillId="4" borderId="4" xfId="2" applyNumberFormat="1" applyFont="1" applyFill="1" applyBorder="1" applyAlignment="1" applyProtection="1">
      <alignment horizontal="center"/>
    </xf>
    <xf numFmtId="0" fontId="9" fillId="0" borderId="4" xfId="0" applyFont="1" applyBorder="1" applyAlignment="1">
      <alignment horizontal="center" vertical="center" wrapText="1"/>
    </xf>
    <xf numFmtId="0" fontId="9" fillId="4" borderId="4" xfId="0" applyFont="1" applyFill="1" applyBorder="1" applyAlignment="1">
      <alignment horizontal="center" vertical="center" wrapText="1"/>
    </xf>
    <xf numFmtId="0" fontId="1" fillId="10" borderId="4" xfId="0" applyFont="1" applyFill="1" applyBorder="1" applyAlignment="1">
      <alignment vertical="top" wrapText="1"/>
    </xf>
    <xf numFmtId="0" fontId="1" fillId="2" borderId="4" xfId="0" applyFont="1" applyFill="1" applyBorder="1" applyAlignment="1" applyProtection="1">
      <alignment vertical="top" wrapText="1"/>
      <protection locked="0"/>
    </xf>
    <xf numFmtId="0" fontId="9" fillId="15" borderId="4" xfId="0" applyFont="1" applyFill="1" applyBorder="1" applyAlignment="1">
      <alignment vertical="top" wrapText="1"/>
    </xf>
    <xf numFmtId="0" fontId="9" fillId="13" borderId="4" xfId="0" applyFont="1" applyFill="1" applyBorder="1" applyAlignment="1" applyProtection="1">
      <alignment horizontal="center" vertical="center" wrapText="1"/>
      <protection locked="0"/>
    </xf>
    <xf numFmtId="0" fontId="9" fillId="0" borderId="4" xfId="0" applyFont="1" applyBorder="1" applyAlignment="1">
      <alignment horizontal="center" vertical="center"/>
    </xf>
    <xf numFmtId="0" fontId="1" fillId="18" borderId="4" xfId="0" applyFont="1" applyFill="1" applyBorder="1" applyProtection="1">
      <protection locked="0"/>
    </xf>
    <xf numFmtId="0" fontId="1" fillId="15" borderId="4" xfId="0" applyFont="1" applyFill="1" applyBorder="1"/>
    <xf numFmtId="0" fontId="1" fillId="2" borderId="4" xfId="0" applyFont="1" applyFill="1" applyBorder="1" applyAlignment="1" applyProtection="1">
      <alignment horizontal="center" vertical="center" wrapText="1"/>
      <protection locked="0"/>
    </xf>
    <xf numFmtId="166" fontId="9" fillId="0" borderId="4" xfId="0" applyNumberFormat="1" applyFont="1" applyBorder="1" applyAlignment="1">
      <alignment horizontal="center" vertical="center"/>
    </xf>
    <xf numFmtId="0" fontId="1" fillId="2" borderId="4" xfId="0" applyFont="1" applyFill="1" applyBorder="1" applyAlignment="1" applyProtection="1">
      <alignment horizontal="center" wrapText="1"/>
      <protection locked="0"/>
    </xf>
    <xf numFmtId="0" fontId="1" fillId="15" borderId="4" xfId="0" applyFont="1" applyFill="1" applyBorder="1" applyAlignment="1">
      <alignment horizontal="left" vertical="center" wrapText="1"/>
    </xf>
    <xf numFmtId="0" fontId="1" fillId="15" borderId="4" xfId="0" applyFont="1" applyFill="1" applyBorder="1" applyAlignment="1">
      <alignment horizontal="center" vertical="center" wrapText="1"/>
    </xf>
    <xf numFmtId="0" fontId="9" fillId="0" borderId="4" xfId="0" applyFont="1" applyBorder="1" applyAlignment="1">
      <alignment horizontal="right" wrapText="1"/>
    </xf>
    <xf numFmtId="43" fontId="9" fillId="4" borderId="4" xfId="2" applyFont="1" applyFill="1" applyBorder="1" applyAlignment="1" applyProtection="1">
      <alignment horizontal="center" vertical="center" wrapText="1"/>
    </xf>
    <xf numFmtId="0" fontId="1" fillId="0" borderId="40" xfId="0" applyFont="1" applyBorder="1" applyAlignment="1">
      <alignment horizontal="center"/>
    </xf>
    <xf numFmtId="0" fontId="1" fillId="18" borderId="4" xfId="0" applyFont="1" applyFill="1" applyBorder="1" applyAlignment="1" applyProtection="1">
      <alignment horizontal="center"/>
      <protection locked="0"/>
    </xf>
    <xf numFmtId="0" fontId="9" fillId="9" borderId="4" xfId="0" applyFont="1" applyFill="1" applyBorder="1"/>
    <xf numFmtId="2" fontId="9" fillId="4" borderId="4" xfId="0" applyNumberFormat="1" applyFont="1" applyFill="1" applyBorder="1" applyAlignment="1">
      <alignment horizontal="center"/>
    </xf>
    <xf numFmtId="0" fontId="9" fillId="0" borderId="25" xfId="0" applyFont="1" applyBorder="1" applyAlignment="1">
      <alignment horizontal="center" vertical="center"/>
    </xf>
    <xf numFmtId="0" fontId="1" fillId="18" borderId="4" xfId="0" applyFont="1" applyFill="1" applyBorder="1" applyAlignment="1">
      <alignment horizontal="center" vertical="center" wrapText="1"/>
    </xf>
    <xf numFmtId="0" fontId="1" fillId="4" borderId="4" xfId="2" applyNumberFormat="1" applyFont="1" applyFill="1" applyBorder="1" applyAlignment="1" applyProtection="1">
      <alignment horizontal="center" vertical="center" wrapText="1"/>
    </xf>
    <xf numFmtId="0" fontId="1" fillId="0" borderId="17" xfId="0" applyFont="1" applyBorder="1" applyAlignment="1">
      <alignment horizontal="center" vertical="center" wrapText="1"/>
    </xf>
    <xf numFmtId="0" fontId="1" fillId="15" borderId="17" xfId="0" applyFont="1" applyFill="1" applyBorder="1" applyAlignment="1">
      <alignment horizontal="center"/>
    </xf>
    <xf numFmtId="0" fontId="9" fillId="0" borderId="0" xfId="0" applyFont="1" applyAlignment="1">
      <alignment vertical="center"/>
    </xf>
    <xf numFmtId="164" fontId="1" fillId="0" borderId="0" xfId="0" applyNumberFormat="1" applyFont="1" applyAlignment="1">
      <alignment horizontal="center"/>
    </xf>
    <xf numFmtId="0" fontId="9" fillId="0" borderId="95" xfId="0" applyFont="1" applyBorder="1" applyAlignment="1">
      <alignment vertical="center"/>
    </xf>
    <xf numFmtId="0" fontId="1" fillId="0" borderId="95" xfId="0" applyFont="1" applyBorder="1" applyAlignment="1">
      <alignment horizontal="center" vertical="center" wrapText="1"/>
    </xf>
    <xf numFmtId="0" fontId="1" fillId="0" borderId="95" xfId="0" applyFont="1" applyBorder="1" applyAlignment="1" applyProtection="1">
      <alignment horizontal="center"/>
      <protection locked="0"/>
    </xf>
    <xf numFmtId="0" fontId="3" fillId="9" borderId="0" xfId="0" applyFont="1" applyFill="1" applyAlignment="1">
      <alignment wrapText="1"/>
    </xf>
    <xf numFmtId="0" fontId="1" fillId="9" borderId="0" xfId="0" applyFont="1" applyFill="1" applyAlignment="1">
      <alignment wrapText="1"/>
    </xf>
    <xf numFmtId="0" fontId="3" fillId="9" borderId="67" xfId="0" applyFont="1" applyFill="1" applyBorder="1" applyAlignment="1">
      <alignment wrapText="1"/>
    </xf>
    <xf numFmtId="164" fontId="1" fillId="0" borderId="4" xfId="1" applyNumberFormat="1" applyFont="1" applyBorder="1" applyAlignment="1">
      <alignment horizontal="center" vertical="center"/>
    </xf>
    <xf numFmtId="164" fontId="1" fillId="0" borderId="46" xfId="1" applyNumberFormat="1" applyFont="1" applyBorder="1" applyAlignment="1">
      <alignment horizontal="center" vertical="center"/>
    </xf>
    <xf numFmtId="164" fontId="1" fillId="0" borderId="10" xfId="1" applyNumberFormat="1" applyFont="1" applyBorder="1" applyAlignment="1">
      <alignment horizontal="center" vertical="center"/>
    </xf>
    <xf numFmtId="0" fontId="1" fillId="9" borderId="66" xfId="0" applyFont="1" applyFill="1" applyBorder="1" applyAlignment="1">
      <alignment wrapText="1"/>
    </xf>
    <xf numFmtId="0" fontId="9" fillId="15" borderId="4" xfId="0" applyFont="1" applyFill="1" applyBorder="1" applyAlignment="1">
      <alignment horizontal="center" wrapText="1"/>
    </xf>
    <xf numFmtId="0" fontId="9" fillId="4" borderId="4" xfId="0" applyFont="1" applyFill="1" applyBorder="1" applyAlignment="1">
      <alignment horizontal="center"/>
    </xf>
    <xf numFmtId="0" fontId="9" fillId="0" borderId="96" xfId="0" applyFont="1" applyBorder="1"/>
    <xf numFmtId="0" fontId="9" fillId="0" borderId="97" xfId="0" applyFont="1" applyBorder="1" applyAlignment="1">
      <alignment horizontal="center"/>
    </xf>
    <xf numFmtId="166" fontId="12" fillId="0" borderId="4" xfId="0" applyNumberFormat="1" applyFont="1" applyBorder="1" applyAlignment="1">
      <alignment horizontal="center"/>
    </xf>
    <xf numFmtId="166" fontId="9" fillId="0" borderId="4" xfId="0" applyNumberFormat="1" applyFont="1" applyBorder="1" applyAlignment="1">
      <alignment horizontal="center" wrapText="1"/>
    </xf>
    <xf numFmtId="166" fontId="9" fillId="0" borderId="4" xfId="0" applyNumberFormat="1" applyFont="1" applyBorder="1" applyAlignment="1">
      <alignment horizontal="center"/>
    </xf>
    <xf numFmtId="3" fontId="14" fillId="2" borderId="4" xfId="0" applyNumberFormat="1" applyFont="1" applyFill="1" applyBorder="1" applyAlignment="1" applyProtection="1">
      <alignment horizontal="center"/>
      <protection locked="0"/>
    </xf>
    <xf numFmtId="3" fontId="1" fillId="4" borderId="4" xfId="0" applyNumberFormat="1" applyFont="1" applyFill="1" applyBorder="1" applyAlignment="1">
      <alignment horizontal="center"/>
    </xf>
    <xf numFmtId="1" fontId="1" fillId="10" borderId="4" xfId="0" applyNumberFormat="1" applyFont="1" applyFill="1" applyBorder="1" applyAlignment="1">
      <alignment horizontal="center"/>
    </xf>
    <xf numFmtId="166" fontId="9" fillId="4" borderId="4" xfId="0" applyNumberFormat="1" applyFont="1" applyFill="1" applyBorder="1" applyAlignment="1">
      <alignment horizontal="center"/>
    </xf>
    <xf numFmtId="0" fontId="9" fillId="0" borderId="25" xfId="0" applyFont="1" applyBorder="1"/>
    <xf numFmtId="0" fontId="9" fillId="0" borderId="27" xfId="0" applyFont="1" applyBorder="1" applyAlignment="1">
      <alignment horizontal="center"/>
    </xf>
    <xf numFmtId="166" fontId="9" fillId="0" borderId="27" xfId="0" applyNumberFormat="1" applyFont="1" applyBorder="1" applyAlignment="1">
      <alignment horizontal="center"/>
    </xf>
    <xf numFmtId="166" fontId="9" fillId="0" borderId="17" xfId="0" applyNumberFormat="1" applyFont="1" applyBorder="1" applyAlignment="1">
      <alignment horizontal="center"/>
    </xf>
    <xf numFmtId="0" fontId="9" fillId="0" borderId="17" xfId="0" applyFont="1" applyBorder="1" applyAlignment="1">
      <alignment horizontal="center"/>
    </xf>
    <xf numFmtId="166" fontId="9" fillId="0" borderId="66" xfId="0" applyNumberFormat="1" applyFont="1" applyBorder="1" applyAlignment="1">
      <alignment horizontal="center"/>
    </xf>
    <xf numFmtId="166" fontId="9" fillId="0" borderId="66" xfId="0" applyNumberFormat="1" applyFont="1" applyBorder="1"/>
    <xf numFmtId="166" fontId="9" fillId="0" borderId="16" xfId="0" applyNumberFormat="1" applyFont="1" applyBorder="1"/>
    <xf numFmtId="0" fontId="9" fillId="0" borderId="66" xfId="0" applyFont="1" applyBorder="1"/>
    <xf numFmtId="166" fontId="9" fillId="4" borderId="4" xfId="0" applyNumberFormat="1" applyFont="1" applyFill="1" applyBorder="1"/>
    <xf numFmtId="166" fontId="12" fillId="0" borderId="17" xfId="0" applyNumberFormat="1" applyFont="1" applyBorder="1" applyAlignment="1">
      <alignment horizontal="center"/>
    </xf>
    <xf numFmtId="0" fontId="9" fillId="0" borderId="65" xfId="0" applyFont="1" applyBorder="1"/>
    <xf numFmtId="0" fontId="9" fillId="0" borderId="95" xfId="0" applyFont="1" applyBorder="1" applyAlignment="1">
      <alignment horizontal="center"/>
    </xf>
    <xf numFmtId="0" fontId="1" fillId="15" borderId="46" xfId="0" applyFont="1" applyFill="1" applyBorder="1"/>
    <xf numFmtId="166" fontId="1" fillId="4" borderId="46" xfId="0" applyNumberFormat="1" applyFont="1" applyFill="1" applyBorder="1"/>
    <xf numFmtId="166" fontId="1" fillId="15" borderId="46" xfId="0" applyNumberFormat="1" applyFont="1" applyFill="1" applyBorder="1"/>
    <xf numFmtId="3" fontId="1" fillId="4" borderId="46" xfId="0" applyNumberFormat="1" applyFont="1" applyFill="1" applyBorder="1" applyAlignment="1">
      <alignment horizontal="center"/>
    </xf>
    <xf numFmtId="0" fontId="9" fillId="0" borderId="27" xfId="0" applyFont="1" applyBorder="1"/>
    <xf numFmtId="166" fontId="9" fillId="0" borderId="27" xfId="0" applyNumberFormat="1" applyFont="1" applyBorder="1"/>
    <xf numFmtId="166" fontId="9" fillId="0" borderId="17" xfId="0" applyNumberFormat="1" applyFont="1" applyBorder="1"/>
    <xf numFmtId="0" fontId="9" fillId="0" borderId="29" xfId="0" applyFont="1" applyBorder="1"/>
    <xf numFmtId="0" fontId="9" fillId="0" borderId="16" xfId="0" applyFont="1" applyBorder="1" applyAlignment="1">
      <alignment horizontal="center"/>
    </xf>
    <xf numFmtId="166" fontId="1" fillId="4" borderId="4" xfId="0" applyNumberFormat="1" applyFont="1" applyFill="1" applyBorder="1" applyAlignment="1">
      <alignment horizontal="right"/>
    </xf>
    <xf numFmtId="166" fontId="9" fillId="4" borderId="4" xfId="0" applyNumberFormat="1" applyFont="1" applyFill="1" applyBorder="1" applyAlignment="1">
      <alignment horizontal="right"/>
    </xf>
    <xf numFmtId="1" fontId="1" fillId="10" borderId="46" xfId="0" applyNumberFormat="1" applyFont="1" applyFill="1" applyBorder="1" applyAlignment="1">
      <alignment horizontal="center"/>
    </xf>
    <xf numFmtId="166" fontId="9" fillId="4" borderId="17" xfId="0" applyNumberFormat="1" applyFont="1" applyFill="1" applyBorder="1"/>
    <xf numFmtId="166" fontId="9" fillId="0" borderId="9" xfId="0" applyNumberFormat="1" applyFont="1" applyBorder="1" applyAlignment="1">
      <alignment horizontal="center"/>
    </xf>
    <xf numFmtId="166" fontId="9" fillId="4" borderId="9" xfId="0" applyNumberFormat="1" applyFont="1" applyFill="1" applyBorder="1"/>
    <xf numFmtId="0" fontId="9" fillId="0" borderId="9" xfId="0" applyFont="1" applyBorder="1" applyAlignment="1">
      <alignment horizontal="center"/>
    </xf>
    <xf numFmtId="166" fontId="1" fillId="0" borderId="0" xfId="0" applyNumberFormat="1" applyFont="1" applyAlignment="1">
      <alignment horizontal="right"/>
    </xf>
    <xf numFmtId="166" fontId="9" fillId="0" borderId="4" xfId="0" applyNumberFormat="1" applyFont="1" applyBorder="1" applyAlignment="1">
      <alignment horizontal="center" vertical="center" wrapText="1"/>
    </xf>
    <xf numFmtId="0" fontId="32" fillId="0" borderId="0" xfId="0" applyFont="1" applyAlignment="1">
      <alignment vertical="center"/>
    </xf>
    <xf numFmtId="0" fontId="1" fillId="21" borderId="4" xfId="0" applyFont="1" applyFill="1" applyBorder="1"/>
    <xf numFmtId="0" fontId="1" fillId="3" borderId="17" xfId="0" applyFont="1" applyFill="1" applyBorder="1" applyAlignment="1">
      <alignment horizontal="center"/>
    </xf>
    <xf numFmtId="166" fontId="1" fillId="0" borderId="4" xfId="0" applyNumberFormat="1" applyFont="1" applyBorder="1" applyAlignment="1">
      <alignment horizontal="center"/>
    </xf>
    <xf numFmtId="0" fontId="1" fillId="21" borderId="4" xfId="0" applyFont="1" applyFill="1" applyBorder="1" applyAlignment="1">
      <alignment horizontal="center" vertical="center" wrapText="1"/>
    </xf>
    <xf numFmtId="0" fontId="1" fillId="3" borderId="4" xfId="0" applyFont="1" applyFill="1" applyBorder="1" applyAlignment="1">
      <alignment horizontal="center" vertical="center" wrapText="1"/>
    </xf>
    <xf numFmtId="164" fontId="1" fillId="4" borderId="4" xfId="0" applyNumberFormat="1" applyFont="1" applyFill="1" applyBorder="1" applyAlignment="1">
      <alignment horizontal="center" vertical="top" wrapText="1"/>
    </xf>
    <xf numFmtId="165" fontId="1" fillId="4" borderId="4" xfId="0" applyNumberFormat="1" applyFont="1" applyFill="1" applyBorder="1" applyAlignment="1">
      <alignment horizontal="center" vertical="top" wrapText="1"/>
    </xf>
    <xf numFmtId="164" fontId="9" fillId="0" borderId="4" xfId="0" applyNumberFormat="1" applyFont="1" applyBorder="1" applyAlignment="1">
      <alignment horizontal="center" vertical="top" wrapText="1"/>
    </xf>
    <xf numFmtId="165" fontId="9" fillId="0" borderId="4" xfId="0" applyNumberFormat="1" applyFont="1" applyBorder="1" applyAlignment="1">
      <alignment horizontal="center" vertical="top" wrapText="1"/>
    </xf>
    <xf numFmtId="49" fontId="9" fillId="15" borderId="4" xfId="0" applyNumberFormat="1" applyFont="1" applyFill="1" applyBorder="1" applyAlignment="1">
      <alignment horizontal="center"/>
    </xf>
    <xf numFmtId="4" fontId="9" fillId="15" borderId="46" xfId="0" applyNumberFormat="1" applyFont="1" applyFill="1" applyBorder="1" applyAlignment="1">
      <alignment horizontal="center"/>
    </xf>
    <xf numFmtId="3" fontId="9" fillId="15" borderId="46" xfId="0" applyNumberFormat="1" applyFont="1" applyFill="1" applyBorder="1" applyAlignment="1">
      <alignment horizontal="center"/>
    </xf>
    <xf numFmtId="3" fontId="9" fillId="15" borderId="40" xfId="0" applyNumberFormat="1" applyFont="1" applyFill="1" applyBorder="1" applyAlignment="1">
      <alignment horizontal="center"/>
    </xf>
    <xf numFmtId="4" fontId="9" fillId="15" borderId="9" xfId="0" applyNumberFormat="1" applyFont="1" applyFill="1" applyBorder="1" applyAlignment="1">
      <alignment horizontal="center"/>
    </xf>
    <xf numFmtId="3" fontId="9" fillId="15" borderId="9" xfId="0" applyNumberFormat="1" applyFont="1" applyFill="1" applyBorder="1" applyAlignment="1">
      <alignment horizontal="center"/>
    </xf>
    <xf numFmtId="3" fontId="9" fillId="5" borderId="4" xfId="0" applyNumberFormat="1" applyFont="1" applyFill="1" applyBorder="1" applyAlignment="1">
      <alignment horizontal="right"/>
    </xf>
    <xf numFmtId="167" fontId="9" fillId="4" borderId="4" xfId="2" applyNumberFormat="1" applyFont="1" applyFill="1" applyBorder="1" applyAlignment="1">
      <alignment horizontal="right"/>
    </xf>
    <xf numFmtId="167" fontId="9" fillId="15" borderId="4" xfId="2" applyNumberFormat="1" applyFont="1" applyFill="1" applyBorder="1" applyAlignment="1"/>
    <xf numFmtId="1" fontId="1" fillId="15" borderId="4" xfId="0" applyNumberFormat="1" applyFont="1" applyFill="1" applyBorder="1" applyAlignment="1" applyProtection="1">
      <alignment horizontal="center"/>
      <protection locked="0"/>
    </xf>
    <xf numFmtId="0" fontId="1" fillId="15" borderId="4" xfId="0" applyFont="1" applyFill="1" applyBorder="1" applyAlignment="1" applyProtection="1">
      <alignment horizontal="center"/>
      <protection locked="0"/>
    </xf>
    <xf numFmtId="0" fontId="9" fillId="3" borderId="4" xfId="0" applyFont="1" applyFill="1" applyBorder="1" applyAlignment="1">
      <alignment horizontal="center"/>
    </xf>
    <xf numFmtId="0" fontId="9" fillId="3" borderId="46" xfId="0" applyFont="1" applyFill="1" applyBorder="1" applyAlignment="1">
      <alignment horizontal="center"/>
    </xf>
    <xf numFmtId="0" fontId="1" fillId="3" borderId="4" xfId="0" applyFont="1" applyFill="1" applyBorder="1" applyAlignment="1">
      <alignment horizontal="right"/>
    </xf>
    <xf numFmtId="0" fontId="9" fillId="0" borderId="25" xfId="0" applyFont="1" applyBorder="1" applyAlignment="1">
      <alignment horizontal="center"/>
    </xf>
    <xf numFmtId="0" fontId="1" fillId="0" borderId="27" xfId="0" applyFont="1" applyBorder="1"/>
    <xf numFmtId="0" fontId="1" fillId="0" borderId="17" xfId="0" applyFont="1" applyBorder="1"/>
    <xf numFmtId="0" fontId="9" fillId="0" borderId="29" xfId="0" applyFont="1" applyBorder="1" applyAlignment="1">
      <alignment horizontal="center"/>
    </xf>
    <xf numFmtId="0" fontId="1" fillId="0" borderId="66" xfId="0" applyFont="1" applyBorder="1"/>
    <xf numFmtId="166" fontId="1" fillId="19" borderId="96" xfId="0" applyNumberFormat="1" applyFont="1" applyFill="1" applyBorder="1" applyAlignment="1" applyProtection="1">
      <alignment horizontal="left" vertical="top" wrapText="1"/>
      <protection locked="0"/>
    </xf>
    <xf numFmtId="166" fontId="1" fillId="19" borderId="67" xfId="0" applyNumberFormat="1" applyFont="1" applyFill="1" applyBorder="1" applyAlignment="1" applyProtection="1">
      <alignment horizontal="left" vertical="top" wrapText="1"/>
      <protection locked="0"/>
    </xf>
    <xf numFmtId="166" fontId="1" fillId="19" borderId="97" xfId="0" applyNumberFormat="1" applyFont="1" applyFill="1" applyBorder="1" applyAlignment="1" applyProtection="1">
      <alignment horizontal="left" vertical="top" wrapText="1"/>
      <protection locked="0"/>
    </xf>
    <xf numFmtId="166" fontId="1" fillId="19" borderId="65" xfId="0" applyNumberFormat="1" applyFont="1" applyFill="1" applyBorder="1" applyAlignment="1" applyProtection="1">
      <alignment horizontal="left" vertical="top" wrapText="1"/>
      <protection locked="0"/>
    </xf>
    <xf numFmtId="166" fontId="1" fillId="19" borderId="0" xfId="0" applyNumberFormat="1" applyFont="1" applyFill="1" applyAlignment="1" applyProtection="1">
      <alignment horizontal="left" vertical="top" wrapText="1"/>
      <protection locked="0"/>
    </xf>
    <xf numFmtId="166" fontId="1" fillId="19" borderId="95" xfId="0" applyNumberFormat="1" applyFont="1" applyFill="1" applyBorder="1" applyAlignment="1" applyProtection="1">
      <alignment horizontal="left" vertical="top" wrapText="1"/>
      <protection locked="0"/>
    </xf>
    <xf numFmtId="166" fontId="1" fillId="19" borderId="29" xfId="0" applyNumberFormat="1" applyFont="1" applyFill="1" applyBorder="1" applyAlignment="1" applyProtection="1">
      <alignment horizontal="left" vertical="top" wrapText="1"/>
      <protection locked="0"/>
    </xf>
    <xf numFmtId="166" fontId="1" fillId="19" borderId="66" xfId="0" applyNumberFormat="1" applyFont="1" applyFill="1" applyBorder="1" applyAlignment="1" applyProtection="1">
      <alignment horizontal="left" vertical="top" wrapText="1"/>
      <protection locked="0"/>
    </xf>
    <xf numFmtId="166" fontId="1" fillId="19" borderId="16" xfId="0" applyNumberFormat="1" applyFont="1" applyFill="1" applyBorder="1" applyAlignment="1" applyProtection="1">
      <alignment horizontal="left" vertical="top" wrapText="1"/>
      <protection locked="0"/>
    </xf>
    <xf numFmtId="166" fontId="9" fillId="12" borderId="25" xfId="0" applyNumberFormat="1" applyFont="1" applyFill="1" applyBorder="1" applyAlignment="1">
      <alignment horizontal="left" vertical="center" wrapText="1"/>
    </xf>
    <xf numFmtId="0" fontId="1" fillId="12" borderId="17" xfId="0" applyFont="1" applyFill="1" applyBorder="1" applyAlignment="1">
      <alignment horizontal="left"/>
    </xf>
    <xf numFmtId="0" fontId="1" fillId="4" borderId="25" xfId="0" applyFont="1" applyFill="1" applyBorder="1" applyAlignment="1">
      <alignment horizontal="left"/>
    </xf>
    <xf numFmtId="0" fontId="1" fillId="4" borderId="17" xfId="0" applyFont="1" applyFill="1" applyBorder="1" applyAlignment="1">
      <alignment horizontal="left"/>
    </xf>
    <xf numFmtId="166" fontId="1" fillId="5" borderId="25" xfId="0" applyNumberFormat="1" applyFont="1" applyFill="1" applyBorder="1" applyAlignment="1">
      <alignment horizontal="left"/>
    </xf>
    <xf numFmtId="166" fontId="1" fillId="5" borderId="17" xfId="0" applyNumberFormat="1" applyFont="1" applyFill="1" applyBorder="1" applyAlignment="1">
      <alignment horizontal="left"/>
    </xf>
    <xf numFmtId="0" fontId="1" fillId="0" borderId="0" xfId="0" applyFont="1" applyAlignment="1">
      <alignment horizontal="left" vertical="center" wrapText="1"/>
    </xf>
    <xf numFmtId="0" fontId="9" fillId="0" borderId="4" xfId="0" applyFont="1" applyBorder="1" applyAlignment="1">
      <alignment horizontal="center"/>
    </xf>
    <xf numFmtId="0" fontId="1" fillId="19" borderId="4" xfId="0" applyFont="1" applyFill="1" applyBorder="1" applyAlignment="1" applyProtection="1">
      <alignment horizontal="left" vertical="top" wrapText="1"/>
      <protection locked="0"/>
    </xf>
    <xf numFmtId="0" fontId="1" fillId="19" borderId="96" xfId="0" applyFont="1" applyFill="1" applyBorder="1" applyAlignment="1" applyProtection="1">
      <alignment horizontal="left" vertical="top" wrapText="1"/>
      <protection locked="0"/>
    </xf>
    <xf numFmtId="0" fontId="1" fillId="19" borderId="67" xfId="0" applyFont="1" applyFill="1" applyBorder="1" applyAlignment="1" applyProtection="1">
      <alignment horizontal="left" vertical="top" wrapText="1"/>
      <protection locked="0"/>
    </xf>
    <xf numFmtId="0" fontId="1" fillId="19" borderId="97" xfId="0" applyFont="1" applyFill="1" applyBorder="1" applyAlignment="1" applyProtection="1">
      <alignment horizontal="left" vertical="top" wrapText="1"/>
      <protection locked="0"/>
    </xf>
    <xf numFmtId="0" fontId="1" fillId="19" borderId="65" xfId="0" applyFont="1" applyFill="1" applyBorder="1" applyAlignment="1" applyProtection="1">
      <alignment horizontal="left" vertical="top" wrapText="1"/>
      <protection locked="0"/>
    </xf>
    <xf numFmtId="0" fontId="1" fillId="19" borderId="0" xfId="0" applyFont="1" applyFill="1" applyAlignment="1" applyProtection="1">
      <alignment horizontal="left" vertical="top" wrapText="1"/>
      <protection locked="0"/>
    </xf>
    <xf numFmtId="0" fontId="1" fillId="19" borderId="95" xfId="0" applyFont="1" applyFill="1" applyBorder="1" applyAlignment="1" applyProtection="1">
      <alignment horizontal="left" vertical="top" wrapText="1"/>
      <protection locked="0"/>
    </xf>
    <xf numFmtId="0" fontId="1" fillId="19" borderId="29" xfId="0" applyFont="1" applyFill="1" applyBorder="1" applyAlignment="1" applyProtection="1">
      <alignment horizontal="left" vertical="top" wrapText="1"/>
      <protection locked="0"/>
    </xf>
    <xf numFmtId="0" fontId="1" fillId="19" borderId="66" xfId="0" applyFont="1" applyFill="1" applyBorder="1" applyAlignment="1" applyProtection="1">
      <alignment horizontal="left" vertical="top" wrapText="1"/>
      <protection locked="0"/>
    </xf>
    <xf numFmtId="0" fontId="1" fillId="19" borderId="16" xfId="0" applyFont="1" applyFill="1" applyBorder="1" applyAlignment="1" applyProtection="1">
      <alignment horizontal="left" vertical="top" wrapText="1"/>
      <protection locked="0"/>
    </xf>
    <xf numFmtId="0" fontId="1" fillId="19" borderId="4" xfId="0" applyFont="1" applyFill="1" applyBorder="1" applyAlignment="1">
      <alignment horizontal="left" vertical="top" wrapText="1"/>
    </xf>
    <xf numFmtId="0" fontId="1" fillId="0" borderId="0" xfId="0" applyFont="1" applyAlignment="1">
      <alignment vertical="center" wrapText="1"/>
    </xf>
    <xf numFmtId="0" fontId="14" fillId="0" borderId="0" xfId="0" applyFont="1" applyAlignment="1">
      <alignment horizontal="left" vertical="center" wrapText="1"/>
    </xf>
    <xf numFmtId="0" fontId="9" fillId="18" borderId="86" xfId="0" applyFont="1" applyFill="1" applyBorder="1" applyAlignment="1">
      <alignment horizontal="center" vertical="top" wrapText="1"/>
    </xf>
    <xf numFmtId="0" fontId="9" fillId="18" borderId="87" xfId="0" applyFont="1" applyFill="1" applyBorder="1" applyAlignment="1">
      <alignment horizontal="center" vertical="top" wrapText="1"/>
    </xf>
    <xf numFmtId="0" fontId="1" fillId="0" borderId="66"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applyAlignment="1">
      <alignment vertical="center" wrapText="1"/>
    </xf>
    <xf numFmtId="0" fontId="21" fillId="0" borderId="0" xfId="0" applyFont="1" applyAlignment="1">
      <alignment vertical="center" wrapText="1"/>
    </xf>
    <xf numFmtId="0" fontId="16" fillId="0" borderId="0" xfId="0" applyFont="1" applyAlignment="1">
      <alignment horizontal="left" vertical="center" wrapText="1"/>
    </xf>
    <xf numFmtId="0" fontId="14" fillId="0" borderId="4" xfId="0" applyFont="1" applyBorder="1" applyAlignment="1">
      <alignment vertical="center" wrapText="1"/>
    </xf>
    <xf numFmtId="0" fontId="9" fillId="12" borderId="4" xfId="0" applyFont="1" applyFill="1" applyBorder="1" applyAlignment="1">
      <alignment horizontal="center" vertical="center" wrapText="1"/>
    </xf>
    <xf numFmtId="0" fontId="13" fillId="0" borderId="4" xfId="0" applyFont="1" applyBorder="1" applyAlignment="1">
      <alignment horizontal="left" vertical="center" wrapText="1"/>
    </xf>
    <xf numFmtId="0" fontId="1" fillId="0" borderId="4" xfId="0" applyFont="1" applyBorder="1" applyAlignment="1">
      <alignment vertical="center" wrapText="1"/>
    </xf>
    <xf numFmtId="0" fontId="14" fillId="0" borderId="74" xfId="0" applyFont="1" applyBorder="1" applyAlignment="1">
      <alignment horizontal="left" vertical="center" wrapText="1"/>
    </xf>
    <xf numFmtId="0" fontId="14" fillId="0" borderId="75" xfId="0" applyFont="1" applyBorder="1" applyAlignment="1">
      <alignment horizontal="left" vertical="center" wrapText="1"/>
    </xf>
    <xf numFmtId="0" fontId="14" fillId="0" borderId="73" xfId="0" applyFont="1" applyBorder="1" applyAlignment="1">
      <alignment horizontal="left" vertical="center" wrapText="1"/>
    </xf>
    <xf numFmtId="0" fontId="9" fillId="0" borderId="0" xfId="0" applyFont="1" applyAlignment="1">
      <alignment wrapText="1"/>
    </xf>
    <xf numFmtId="0" fontId="1" fillId="0" borderId="0" xfId="0" applyFont="1"/>
    <xf numFmtId="0" fontId="9" fillId="0" borderId="0" xfId="0" applyFont="1" applyAlignment="1">
      <alignment horizontal="left"/>
    </xf>
    <xf numFmtId="0" fontId="1" fillId="0" borderId="0" xfId="0" applyFont="1" applyAlignment="1">
      <alignment wrapText="1"/>
    </xf>
    <xf numFmtId="0" fontId="1" fillId="0" borderId="0" xfId="0" applyFont="1" applyAlignment="1">
      <alignment vertical="center"/>
    </xf>
    <xf numFmtId="0" fontId="22" fillId="0" borderId="0" xfId="0" applyFont="1" applyAlignment="1">
      <alignment vertical="center" wrapText="1"/>
    </xf>
    <xf numFmtId="0" fontId="9" fillId="18" borderId="86" xfId="0" applyFont="1" applyFill="1" applyBorder="1" applyAlignment="1">
      <alignment horizontal="center" vertical="center" wrapText="1"/>
    </xf>
    <xf numFmtId="0" fontId="1" fillId="18" borderId="87" xfId="0" applyFont="1" applyFill="1" applyBorder="1" applyAlignment="1">
      <alignment horizontal="center" vertical="center" wrapText="1"/>
    </xf>
    <xf numFmtId="0" fontId="9" fillId="0" borderId="17" xfId="0" applyFont="1" applyBorder="1" applyAlignment="1">
      <alignment horizontal="center" vertical="center"/>
    </xf>
    <xf numFmtId="0" fontId="9" fillId="0" borderId="4" xfId="0" applyFont="1" applyBorder="1" applyAlignment="1">
      <alignment horizontal="center" vertical="center"/>
    </xf>
    <xf numFmtId="0" fontId="22" fillId="0" borderId="0" xfId="0" applyFont="1" applyAlignment="1">
      <alignment vertical="top" wrapText="1"/>
    </xf>
    <xf numFmtId="0" fontId="1" fillId="19" borderId="4" xfId="0" applyFont="1" applyFill="1" applyBorder="1" applyAlignment="1">
      <alignment horizontal="left"/>
    </xf>
    <xf numFmtId="0" fontId="1" fillId="0" borderId="0" xfId="0" applyFont="1" applyAlignment="1">
      <alignment horizontal="center"/>
    </xf>
    <xf numFmtId="0" fontId="30" fillId="0" borderId="74" xfId="0" applyFont="1" applyBorder="1" applyAlignment="1">
      <alignment vertical="center" wrapText="1"/>
    </xf>
    <xf numFmtId="0" fontId="1" fillId="0" borderId="75" xfId="0" applyFont="1" applyBorder="1" applyAlignment="1">
      <alignment vertical="center" wrapText="1"/>
    </xf>
    <xf numFmtId="0" fontId="1" fillId="0" borderId="73" xfId="0" applyFont="1" applyBorder="1" applyAlignment="1">
      <alignment vertical="center" wrapText="1"/>
    </xf>
    <xf numFmtId="0" fontId="1" fillId="7" borderId="4" xfId="0" applyFont="1" applyFill="1" applyBorder="1" applyAlignment="1">
      <alignment horizontal="left"/>
    </xf>
    <xf numFmtId="0" fontId="1" fillId="7" borderId="4" xfId="0" applyFont="1" applyFill="1" applyBorder="1"/>
    <xf numFmtId="0" fontId="1" fillId="0" borderId="4" xfId="0" applyFont="1" applyBorder="1"/>
    <xf numFmtId="0" fontId="1" fillId="10" borderId="4" xfId="0" applyFont="1" applyFill="1" applyBorder="1" applyAlignment="1">
      <alignment horizontal="left"/>
    </xf>
    <xf numFmtId="0" fontId="1" fillId="10" borderId="4" xfId="0" applyFont="1" applyFill="1" applyBorder="1"/>
    <xf numFmtId="0" fontId="1" fillId="15" borderId="4" xfId="0" applyFont="1" applyFill="1" applyBorder="1" applyAlignment="1">
      <alignment horizontal="left"/>
    </xf>
    <xf numFmtId="0" fontId="1" fillId="15" borderId="4" xfId="0" applyFont="1" applyFill="1" applyBorder="1"/>
    <xf numFmtId="0" fontId="1" fillId="4" borderId="4" xfId="0" applyFont="1" applyFill="1" applyBorder="1" applyAlignment="1">
      <alignment horizontal="left"/>
    </xf>
    <xf numFmtId="0" fontId="1" fillId="0" borderId="0" xfId="0" applyFont="1" applyAlignment="1">
      <alignment horizontal="left" wrapText="1"/>
    </xf>
    <xf numFmtId="0" fontId="6" fillId="0" borderId="0" xfId="0" applyFont="1" applyAlignment="1">
      <alignment wrapText="1"/>
    </xf>
    <xf numFmtId="166" fontId="1" fillId="19" borderId="64" xfId="0" applyNumberFormat="1" applyFont="1" applyFill="1" applyBorder="1" applyAlignment="1" applyProtection="1">
      <alignment horizontal="left" vertical="top" wrapText="1"/>
      <protection locked="0"/>
    </xf>
    <xf numFmtId="0" fontId="1" fillId="19" borderId="60" xfId="0" applyFont="1" applyFill="1" applyBorder="1" applyAlignment="1" applyProtection="1">
      <alignment horizontal="left" vertical="top" wrapText="1"/>
      <protection locked="0"/>
    </xf>
    <xf numFmtId="0" fontId="1" fillId="19" borderId="24" xfId="0" applyFont="1" applyFill="1" applyBorder="1" applyAlignment="1" applyProtection="1">
      <alignment horizontal="left" vertical="top" wrapText="1"/>
      <protection locked="0"/>
    </xf>
    <xf numFmtId="0" fontId="1" fillId="19" borderId="63" xfId="0" applyFont="1" applyFill="1" applyBorder="1" applyAlignment="1" applyProtection="1">
      <alignment horizontal="left" vertical="top" wrapText="1"/>
      <protection locked="0"/>
    </xf>
    <xf numFmtId="0" fontId="1" fillId="19" borderId="61" xfId="0" applyFont="1" applyFill="1" applyBorder="1" applyAlignment="1" applyProtection="1">
      <alignment horizontal="left" vertical="top" wrapText="1"/>
      <protection locked="0"/>
    </xf>
    <xf numFmtId="0" fontId="1" fillId="19" borderId="31" xfId="0" applyFont="1" applyFill="1" applyBorder="1" applyAlignment="1" applyProtection="1">
      <alignment horizontal="left" vertical="top" wrapText="1"/>
      <protection locked="0"/>
    </xf>
    <xf numFmtId="0" fontId="1" fillId="19" borderId="32" xfId="0" applyFont="1" applyFill="1" applyBorder="1" applyAlignment="1" applyProtection="1">
      <alignment horizontal="left" vertical="top" wrapText="1"/>
      <protection locked="0"/>
    </xf>
    <xf numFmtId="0" fontId="1" fillId="19" borderId="62" xfId="0" applyFont="1" applyFill="1" applyBorder="1" applyAlignment="1" applyProtection="1">
      <alignment horizontal="left" vertical="top" wrapText="1"/>
      <protection locked="0"/>
    </xf>
    <xf numFmtId="0" fontId="1" fillId="3" borderId="25" xfId="0" applyFont="1" applyFill="1" applyBorder="1" applyAlignment="1">
      <alignment horizontal="left"/>
    </xf>
    <xf numFmtId="0" fontId="1" fillId="0" borderId="27" xfId="0" applyFont="1" applyBorder="1"/>
    <xf numFmtId="0" fontId="1" fillId="0" borderId="17" xfId="0" applyFont="1" applyBorder="1"/>
    <xf numFmtId="166" fontId="1" fillId="4" borderId="25" xfId="0" applyNumberFormat="1" applyFont="1" applyFill="1" applyBorder="1" applyAlignment="1">
      <alignment horizontal="left"/>
    </xf>
    <xf numFmtId="166" fontId="1" fillId="10" borderId="25" xfId="0" applyNumberFormat="1" applyFont="1" applyFill="1" applyBorder="1" applyAlignment="1">
      <alignment horizontal="left"/>
    </xf>
    <xf numFmtId="0" fontId="1" fillId="10" borderId="27" xfId="0" applyFont="1" applyFill="1" applyBorder="1"/>
    <xf numFmtId="0" fontId="1" fillId="10" borderId="17" xfId="0" applyFont="1" applyFill="1" applyBorder="1"/>
    <xf numFmtId="0" fontId="1" fillId="0" borderId="32" xfId="0" applyFont="1" applyBorder="1" applyAlignment="1">
      <alignment vertical="center" wrapText="1"/>
    </xf>
    <xf numFmtId="0" fontId="1" fillId="19" borderId="64" xfId="0" applyFont="1" applyFill="1" applyBorder="1" applyAlignment="1" applyProtection="1">
      <alignment horizontal="left" vertical="top" wrapText="1"/>
      <protection locked="0"/>
    </xf>
    <xf numFmtId="166" fontId="9" fillId="0" borderId="42" xfId="0" applyNumberFormat="1" applyFont="1" applyBorder="1" applyAlignment="1">
      <alignment vertical="center"/>
    </xf>
    <xf numFmtId="166" fontId="9" fillId="0" borderId="41" xfId="0" applyNumberFormat="1" applyFont="1" applyBorder="1" applyAlignment="1">
      <alignment vertical="center"/>
    </xf>
    <xf numFmtId="166" fontId="9" fillId="0" borderId="23" xfId="0" applyNumberFormat="1" applyFont="1" applyBorder="1" applyAlignment="1">
      <alignment vertical="center"/>
    </xf>
    <xf numFmtId="0" fontId="9" fillId="3" borderId="44" xfId="0" applyFont="1" applyFill="1" applyBorder="1" applyAlignment="1">
      <alignment horizontal="center" wrapText="1"/>
    </xf>
    <xf numFmtId="0" fontId="1" fillId="3" borderId="49" xfId="0" applyFont="1" applyFill="1" applyBorder="1" applyAlignment="1">
      <alignment horizontal="center" wrapText="1"/>
    </xf>
    <xf numFmtId="0" fontId="9" fillId="3" borderId="44" xfId="0" applyFont="1" applyFill="1" applyBorder="1" applyAlignment="1">
      <alignment horizontal="center"/>
    </xf>
    <xf numFmtId="0" fontId="1" fillId="0" borderId="49" xfId="0" applyFont="1" applyBorder="1" applyAlignment="1">
      <alignment horizontal="center"/>
    </xf>
    <xf numFmtId="0" fontId="9" fillId="23" borderId="9" xfId="0" applyFont="1" applyFill="1" applyBorder="1" applyAlignment="1">
      <alignment horizontal="center"/>
    </xf>
    <xf numFmtId="0" fontId="9" fillId="24" borderId="9" xfId="0" applyFont="1" applyFill="1" applyBorder="1" applyAlignment="1">
      <alignment horizontal="center"/>
    </xf>
    <xf numFmtId="0" fontId="9" fillId="0" borderId="9" xfId="0" applyFont="1" applyBorder="1" applyAlignment="1">
      <alignment horizontal="center"/>
    </xf>
    <xf numFmtId="0" fontId="9" fillId="0" borderId="21" xfId="0" applyFont="1" applyBorder="1" applyAlignment="1">
      <alignment horizontal="center"/>
    </xf>
    <xf numFmtId="0" fontId="33" fillId="16" borderId="50" xfId="0" applyFont="1" applyFill="1" applyBorder="1" applyAlignment="1">
      <alignment horizontal="center"/>
    </xf>
    <xf numFmtId="0" fontId="33" fillId="16" borderId="81" xfId="0" applyFont="1" applyFill="1" applyBorder="1" applyAlignment="1">
      <alignment horizontal="center"/>
    </xf>
    <xf numFmtId="0" fontId="33" fillId="16" borderId="57" xfId="0" applyFont="1" applyFill="1" applyBorder="1" applyAlignment="1">
      <alignment horizontal="center"/>
    </xf>
    <xf numFmtId="0" fontId="9" fillId="10" borderId="39" xfId="0" applyFont="1" applyFill="1" applyBorder="1" applyAlignment="1">
      <alignment horizontal="center" vertical="center" wrapText="1"/>
    </xf>
    <xf numFmtId="0" fontId="9" fillId="10" borderId="33" xfId="0" applyFont="1" applyFill="1" applyBorder="1" applyAlignment="1">
      <alignment horizontal="center" vertical="center" wrapText="1"/>
    </xf>
    <xf numFmtId="0" fontId="9" fillId="10" borderId="58" xfId="0" applyFont="1" applyFill="1" applyBorder="1" applyAlignment="1">
      <alignment horizontal="center" vertical="top" wrapText="1"/>
    </xf>
    <xf numFmtId="0" fontId="9" fillId="10" borderId="35" xfId="0" applyFont="1" applyFill="1" applyBorder="1" applyAlignment="1">
      <alignment horizontal="center" vertical="top" wrapText="1"/>
    </xf>
    <xf numFmtId="0" fontId="6" fillId="0" borderId="0" xfId="0" applyFont="1" applyAlignment="1">
      <alignment horizontal="left" vertical="center" wrapText="1"/>
    </xf>
    <xf numFmtId="0" fontId="34" fillId="14" borderId="28" xfId="0" applyFont="1" applyFill="1" applyBorder="1" applyAlignment="1">
      <alignment horizontal="center" vertical="center"/>
    </xf>
    <xf numFmtId="0" fontId="1" fillId="0" borderId="12" xfId="0" applyFont="1" applyBorder="1" applyAlignment="1">
      <alignment horizontal="center" vertical="center"/>
    </xf>
    <xf numFmtId="0" fontId="34" fillId="14" borderId="51" xfId="0" applyFont="1" applyFill="1" applyBorder="1" applyAlignment="1">
      <alignment horizontal="center" vertical="center" wrapText="1"/>
    </xf>
    <xf numFmtId="0" fontId="1" fillId="0" borderId="9" xfId="0" applyFont="1" applyBorder="1" applyAlignment="1">
      <alignment horizontal="center" vertical="center" wrapText="1"/>
    </xf>
    <xf numFmtId="0" fontId="34" fillId="14" borderId="42" xfId="0" applyFont="1" applyFill="1" applyBorder="1" applyAlignment="1">
      <alignment horizontal="center" vertical="center" wrapText="1"/>
    </xf>
    <xf numFmtId="0" fontId="1" fillId="0" borderId="21" xfId="0" applyFont="1" applyBorder="1" applyAlignment="1">
      <alignment horizontal="center" vertical="center" wrapText="1"/>
    </xf>
    <xf numFmtId="0" fontId="34" fillId="14" borderId="36" xfId="0" applyFont="1" applyFill="1" applyBorder="1" applyAlignment="1">
      <alignment horizontal="center" vertical="center" wrapText="1"/>
    </xf>
    <xf numFmtId="0" fontId="34" fillId="14" borderId="4" xfId="0" applyFont="1" applyFill="1" applyBorder="1" applyAlignment="1">
      <alignment horizontal="center" vertical="center" wrapText="1"/>
    </xf>
  </cellXfs>
  <cellStyles count="3">
    <cellStyle name="Comma" xfId="2" builtinId="3"/>
    <cellStyle name="Normal" xfId="0" builtinId="0"/>
    <cellStyle name="Percent" xfId="1" builtinId="5"/>
  </cellStyles>
  <dxfs count="0"/>
  <tableStyles count="0" defaultTableStyle="TableStyleMedium2" defaultPivotStyle="PivotStyleLight16"/>
  <colors>
    <mruColors>
      <color rgb="FF99CC00"/>
      <color rgb="FF99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5256443</xdr:colOff>
      <xdr:row>3</xdr:row>
      <xdr:rowOff>104664</xdr:rowOff>
    </xdr:from>
    <xdr:to>
      <xdr:col>1</xdr:col>
      <xdr:colOff>6042824</xdr:colOff>
      <xdr:row>3</xdr:row>
      <xdr:rowOff>1297782</xdr:rowOff>
    </xdr:to>
    <xdr:pic>
      <xdr:nvPicPr>
        <xdr:cNvPr id="3" name="Picture 2" descr="reserve logo.bmp">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5566006" y="485664"/>
          <a:ext cx="786381" cy="1193118"/>
        </a:xfrm>
        <a:prstGeom prst="rect">
          <a:avLst/>
        </a:prstGeom>
        <a:ln w="114300">
          <a:noFill/>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797730</xdr:colOff>
      <xdr:row>199</xdr:row>
      <xdr:rowOff>107164</xdr:rowOff>
    </xdr:from>
    <xdr:to>
      <xdr:col>11</xdr:col>
      <xdr:colOff>644682</xdr:colOff>
      <xdr:row>224</xdr:row>
      <xdr:rowOff>142875</xdr:rowOff>
    </xdr:to>
    <xdr:pic>
      <xdr:nvPicPr>
        <xdr:cNvPr id="2" name="Picture 1">
          <a:extLst>
            <a:ext uri="{FF2B5EF4-FFF2-40B4-BE49-F238E27FC236}">
              <a16:creationId xmlns:a16="http://schemas.microsoft.com/office/drawing/2014/main" id="{00000000-0008-0000-0D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931" t="3150" r="1598"/>
        <a:stretch/>
      </xdr:blipFill>
      <xdr:spPr bwMode="auto">
        <a:xfrm>
          <a:off x="8893980" y="38397664"/>
          <a:ext cx="6490640" cy="44291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H106"/>
  <sheetViews>
    <sheetView showGridLines="0" topLeftCell="A34" zoomScale="80" zoomScaleNormal="80" zoomScaleSheetLayoutView="75" workbookViewId="0">
      <selection activeCell="B44" sqref="B44"/>
    </sheetView>
  </sheetViews>
  <sheetFormatPr defaultColWidth="9.1796875" defaultRowHeight="12.5" x14ac:dyDescent="0.25"/>
  <cols>
    <col min="1" max="1" width="4.81640625" style="409" customWidth="1"/>
    <col min="2" max="2" width="169.453125" style="409" customWidth="1"/>
    <col min="3" max="3" width="11.1796875" style="409" customWidth="1"/>
    <col min="4" max="4" width="31.453125" style="409" customWidth="1"/>
    <col min="5" max="5" width="4.81640625" style="409" customWidth="1"/>
    <col min="6" max="8" width="9.1796875" style="409" hidden="1" customWidth="1"/>
    <col min="9" max="16384" width="9.1796875" style="409"/>
  </cols>
  <sheetData>
    <row r="1" spans="2:5" ht="13" x14ac:dyDescent="0.3">
      <c r="B1" s="410"/>
    </row>
    <row r="2" spans="2:5" ht="15.5" x14ac:dyDescent="0.35">
      <c r="B2" s="411"/>
    </row>
    <row r="3" spans="2:5" ht="19.5" thickBot="1" x14ac:dyDescent="0.55000000000000004">
      <c r="B3" s="445" t="s">
        <v>0</v>
      </c>
    </row>
    <row r="4" spans="2:5" ht="107.25" customHeight="1" x14ac:dyDescent="0.3">
      <c r="B4" s="444" t="s">
        <v>1</v>
      </c>
      <c r="D4" s="412"/>
    </row>
    <row r="5" spans="2:5" ht="13" x14ac:dyDescent="0.3">
      <c r="B5" s="416" t="s">
        <v>2</v>
      </c>
      <c r="D5" s="412"/>
    </row>
    <row r="6" spans="2:5" ht="13" x14ac:dyDescent="0.3">
      <c r="B6" s="417" t="s">
        <v>3</v>
      </c>
    </row>
    <row r="7" spans="2:5" ht="13" x14ac:dyDescent="0.3">
      <c r="B7" s="417"/>
    </row>
    <row r="8" spans="2:5" ht="17.25" customHeight="1" x14ac:dyDescent="0.3">
      <c r="B8" s="417" t="s">
        <v>4</v>
      </c>
    </row>
    <row r="9" spans="2:5" ht="128.25" customHeight="1" x14ac:dyDescent="0.25">
      <c r="B9" s="408" t="s">
        <v>5</v>
      </c>
    </row>
    <row r="10" spans="2:5" ht="30.75" customHeight="1" x14ac:dyDescent="0.3">
      <c r="B10" s="418" t="s">
        <v>6</v>
      </c>
      <c r="D10" s="413"/>
      <c r="E10" s="414"/>
    </row>
    <row r="11" spans="2:5" ht="66.75" customHeight="1" x14ac:dyDescent="0.25">
      <c r="B11" s="419" t="s">
        <v>7</v>
      </c>
      <c r="D11" s="413"/>
    </row>
    <row r="12" spans="2:5" ht="28.5" customHeight="1" x14ac:dyDescent="0.25">
      <c r="B12" s="418" t="s">
        <v>8</v>
      </c>
      <c r="D12" s="413"/>
    </row>
    <row r="13" spans="2:5" x14ac:dyDescent="0.25">
      <c r="B13" s="419" t="s">
        <v>9</v>
      </c>
      <c r="D13" s="413"/>
    </row>
    <row r="14" spans="2:5" x14ac:dyDescent="0.25">
      <c r="B14" s="419" t="s">
        <v>10</v>
      </c>
      <c r="D14" s="413"/>
    </row>
    <row r="15" spans="2:5" x14ac:dyDescent="0.25">
      <c r="B15" s="419" t="s">
        <v>11</v>
      </c>
      <c r="D15" s="413"/>
    </row>
    <row r="16" spans="2:5" x14ac:dyDescent="0.25">
      <c r="B16" s="419" t="s">
        <v>12</v>
      </c>
      <c r="D16" s="413"/>
    </row>
    <row r="17" spans="2:4" ht="26" x14ac:dyDescent="0.25">
      <c r="B17" s="419" t="s">
        <v>13</v>
      </c>
      <c r="D17" s="413"/>
    </row>
    <row r="18" spans="2:4" x14ac:dyDescent="0.25">
      <c r="B18" s="419" t="s">
        <v>14</v>
      </c>
      <c r="D18" s="413"/>
    </row>
    <row r="19" spans="2:4" x14ac:dyDescent="0.25">
      <c r="B19" s="419" t="s">
        <v>15</v>
      </c>
      <c r="D19" s="413"/>
    </row>
    <row r="20" spans="2:4" x14ac:dyDescent="0.25">
      <c r="B20" s="419" t="s">
        <v>16</v>
      </c>
      <c r="D20" s="413"/>
    </row>
    <row r="21" spans="2:4" x14ac:dyDescent="0.25">
      <c r="B21" s="419" t="s">
        <v>17</v>
      </c>
      <c r="D21" s="413"/>
    </row>
    <row r="22" spans="2:4" x14ac:dyDescent="0.25">
      <c r="B22" s="419" t="s">
        <v>18</v>
      </c>
      <c r="D22" s="413"/>
    </row>
    <row r="23" spans="2:4" x14ac:dyDescent="0.25">
      <c r="B23" s="419" t="s">
        <v>19</v>
      </c>
      <c r="D23" s="413"/>
    </row>
    <row r="24" spans="2:4" x14ac:dyDescent="0.25">
      <c r="B24" s="419" t="s">
        <v>20</v>
      </c>
      <c r="D24" s="413"/>
    </row>
    <row r="25" spans="2:4" x14ac:dyDescent="0.25">
      <c r="B25" s="419" t="s">
        <v>21</v>
      </c>
      <c r="D25" s="413"/>
    </row>
    <row r="26" spans="2:4" x14ac:dyDescent="0.25">
      <c r="B26" s="419" t="s">
        <v>22</v>
      </c>
      <c r="D26" s="413"/>
    </row>
    <row r="27" spans="2:4" ht="13" x14ac:dyDescent="0.25">
      <c r="B27" s="420"/>
      <c r="D27" s="413"/>
    </row>
    <row r="28" spans="2:4" ht="13" x14ac:dyDescent="0.3">
      <c r="B28" s="421" t="s">
        <v>23</v>
      </c>
    </row>
    <row r="29" spans="2:4" x14ac:dyDescent="0.25">
      <c r="B29" s="435" t="s">
        <v>24</v>
      </c>
    </row>
    <row r="30" spans="2:4" x14ac:dyDescent="0.25">
      <c r="B30" s="436" t="s">
        <v>25</v>
      </c>
    </row>
    <row r="31" spans="2:4" ht="13" x14ac:dyDescent="0.3">
      <c r="B31" s="437" t="s">
        <v>26</v>
      </c>
    </row>
    <row r="32" spans="2:4" x14ac:dyDescent="0.25">
      <c r="B32" s="438" t="s">
        <v>27</v>
      </c>
    </row>
    <row r="33" spans="2:2" x14ac:dyDescent="0.25">
      <c r="B33" s="439" t="s">
        <v>28</v>
      </c>
    </row>
    <row r="34" spans="2:2" x14ac:dyDescent="0.25">
      <c r="B34" s="440" t="s">
        <v>29</v>
      </c>
    </row>
    <row r="35" spans="2:2" x14ac:dyDescent="0.25">
      <c r="B35" s="441" t="s">
        <v>30</v>
      </c>
    </row>
    <row r="36" spans="2:2" x14ac:dyDescent="0.25">
      <c r="B36" s="442" t="s">
        <v>31</v>
      </c>
    </row>
    <row r="37" spans="2:2" x14ac:dyDescent="0.25">
      <c r="B37" s="443" t="s">
        <v>32</v>
      </c>
    </row>
    <row r="38" spans="2:2" x14ac:dyDescent="0.25">
      <c r="B38" s="422"/>
    </row>
    <row r="39" spans="2:2" ht="48.75" customHeight="1" x14ac:dyDescent="0.25">
      <c r="B39" s="423" t="s">
        <v>33</v>
      </c>
    </row>
    <row r="40" spans="2:2" ht="13" thickBot="1" x14ac:dyDescent="0.3">
      <c r="B40" s="424"/>
    </row>
    <row r="41" spans="2:2" x14ac:dyDescent="0.25">
      <c r="B41" s="415"/>
    </row>
    <row r="42" spans="2:2" ht="15.5" x14ac:dyDescent="0.35">
      <c r="B42" s="580" t="s">
        <v>34</v>
      </c>
    </row>
    <row r="43" spans="2:2" ht="37.5" x14ac:dyDescent="0.25">
      <c r="B43" s="579" t="s">
        <v>35</v>
      </c>
    </row>
    <row r="44" spans="2:2" x14ac:dyDescent="0.25">
      <c r="B44" s="584"/>
    </row>
    <row r="45" spans="2:2" ht="15.5" x14ac:dyDescent="0.35">
      <c r="B45" s="580" t="s">
        <v>36</v>
      </c>
    </row>
    <row r="46" spans="2:2" x14ac:dyDescent="0.25">
      <c r="B46" s="579" t="s">
        <v>37</v>
      </c>
    </row>
    <row r="47" spans="2:2" x14ac:dyDescent="0.25">
      <c r="B47" s="584"/>
    </row>
    <row r="48" spans="2:2" ht="15.5" x14ac:dyDescent="0.35">
      <c r="B48" s="580" t="s">
        <v>38</v>
      </c>
    </row>
    <row r="49" spans="2:2" x14ac:dyDescent="0.25">
      <c r="B49" s="579" t="s">
        <v>39</v>
      </c>
    </row>
    <row r="50" spans="2:2" x14ac:dyDescent="0.25">
      <c r="B50" s="584"/>
    </row>
    <row r="51" spans="2:2" ht="15.5" x14ac:dyDescent="0.35">
      <c r="B51" s="580" t="s">
        <v>40</v>
      </c>
    </row>
    <row r="52" spans="2:2" x14ac:dyDescent="0.25">
      <c r="B52" s="579" t="s">
        <v>41</v>
      </c>
    </row>
    <row r="53" spans="2:2" ht="25" x14ac:dyDescent="0.25">
      <c r="B53" s="579" t="s">
        <v>42</v>
      </c>
    </row>
    <row r="54" spans="2:2" x14ac:dyDescent="0.25">
      <c r="B54" s="584"/>
    </row>
    <row r="55" spans="2:2" ht="15.5" x14ac:dyDescent="0.35">
      <c r="B55" s="580" t="s">
        <v>43</v>
      </c>
    </row>
    <row r="56" spans="2:2" x14ac:dyDescent="0.25">
      <c r="B56" s="579" t="s">
        <v>44</v>
      </c>
    </row>
    <row r="57" spans="2:2" x14ac:dyDescent="0.25">
      <c r="B57" s="584"/>
    </row>
    <row r="58" spans="2:2" ht="15.5" x14ac:dyDescent="0.35">
      <c r="B58" s="580" t="s">
        <v>45</v>
      </c>
    </row>
    <row r="59" spans="2:2" x14ac:dyDescent="0.25">
      <c r="B59" s="579" t="s">
        <v>46</v>
      </c>
    </row>
    <row r="60" spans="2:2" ht="13" x14ac:dyDescent="0.3">
      <c r="B60" s="579" t="s">
        <v>47</v>
      </c>
    </row>
    <row r="61" spans="2:2" x14ac:dyDescent="0.25">
      <c r="B61" s="579" t="s">
        <v>48</v>
      </c>
    </row>
    <row r="62" spans="2:2" x14ac:dyDescent="0.25">
      <c r="B62" s="579"/>
    </row>
    <row r="63" spans="2:2" ht="15.5" x14ac:dyDescent="0.35">
      <c r="B63" s="580" t="s">
        <v>49</v>
      </c>
    </row>
    <row r="64" spans="2:2" x14ac:dyDescent="0.25">
      <c r="B64" s="579" t="s">
        <v>50</v>
      </c>
    </row>
    <row r="65" spans="2:2" ht="25.5" x14ac:dyDescent="0.25">
      <c r="B65" s="579" t="s">
        <v>51</v>
      </c>
    </row>
    <row r="66" spans="2:2" x14ac:dyDescent="0.25">
      <c r="B66" s="579"/>
    </row>
    <row r="67" spans="2:2" ht="15.5" x14ac:dyDescent="0.35">
      <c r="B67" s="580" t="s">
        <v>52</v>
      </c>
    </row>
    <row r="68" spans="2:2" ht="31" x14ac:dyDescent="0.4">
      <c r="B68" s="579" t="s">
        <v>53</v>
      </c>
    </row>
    <row r="69" spans="2:2" ht="25" x14ac:dyDescent="0.25">
      <c r="B69" s="579" t="s">
        <v>54</v>
      </c>
    </row>
    <row r="70" spans="2:2" x14ac:dyDescent="0.25">
      <c r="B70" s="579"/>
    </row>
    <row r="71" spans="2:2" ht="15.5" x14ac:dyDescent="0.35">
      <c r="B71" s="580" t="s">
        <v>55</v>
      </c>
    </row>
    <row r="72" spans="2:2" x14ac:dyDescent="0.25">
      <c r="B72" s="579" t="s">
        <v>56</v>
      </c>
    </row>
    <row r="73" spans="2:2" x14ac:dyDescent="0.25">
      <c r="B73" s="579" t="s">
        <v>57</v>
      </c>
    </row>
    <row r="74" spans="2:2" x14ac:dyDescent="0.25">
      <c r="B74" s="579" t="s">
        <v>58</v>
      </c>
    </row>
    <row r="75" spans="2:2" x14ac:dyDescent="0.25">
      <c r="B75" s="579" t="s">
        <v>59</v>
      </c>
    </row>
    <row r="76" spans="2:2" x14ac:dyDescent="0.25">
      <c r="B76" s="579" t="s">
        <v>60</v>
      </c>
    </row>
    <row r="77" spans="2:2" x14ac:dyDescent="0.25">
      <c r="B77" s="579"/>
    </row>
    <row r="78" spans="2:2" ht="15.5" x14ac:dyDescent="0.35">
      <c r="B78" s="580" t="s">
        <v>61</v>
      </c>
    </row>
    <row r="79" spans="2:2" x14ac:dyDescent="0.25">
      <c r="B79" s="579" t="s">
        <v>62</v>
      </c>
    </row>
    <row r="80" spans="2:2" x14ac:dyDescent="0.25">
      <c r="B80" s="579" t="s">
        <v>63</v>
      </c>
    </row>
    <row r="81" spans="2:2" ht="15.5" x14ac:dyDescent="0.4">
      <c r="B81" s="579" t="s">
        <v>64</v>
      </c>
    </row>
    <row r="82" spans="2:2" x14ac:dyDescent="0.25">
      <c r="B82" s="579"/>
    </row>
    <row r="83" spans="2:2" ht="15.5" x14ac:dyDescent="0.35">
      <c r="B83" s="580" t="s">
        <v>65</v>
      </c>
    </row>
    <row r="84" spans="2:2" x14ac:dyDescent="0.25">
      <c r="B84" s="579" t="s">
        <v>66</v>
      </c>
    </row>
    <row r="85" spans="2:2" x14ac:dyDescent="0.25">
      <c r="B85" s="579" t="s">
        <v>67</v>
      </c>
    </row>
    <row r="86" spans="2:2" x14ac:dyDescent="0.25">
      <c r="B86" s="579" t="s">
        <v>68</v>
      </c>
    </row>
    <row r="87" spans="2:2" x14ac:dyDescent="0.25">
      <c r="B87" s="579" t="s">
        <v>69</v>
      </c>
    </row>
    <row r="88" spans="2:2" ht="15.5" x14ac:dyDescent="0.4">
      <c r="B88" s="579" t="s">
        <v>70</v>
      </c>
    </row>
    <row r="89" spans="2:2" x14ac:dyDescent="0.25">
      <c r="B89" s="579" t="s">
        <v>71</v>
      </c>
    </row>
    <row r="90" spans="2:2" x14ac:dyDescent="0.25">
      <c r="B90" s="579"/>
    </row>
    <row r="91" spans="2:2" ht="15.5" x14ac:dyDescent="0.35">
      <c r="B91" s="580" t="s">
        <v>72</v>
      </c>
    </row>
    <row r="92" spans="2:2" ht="25" x14ac:dyDescent="0.25">
      <c r="B92" s="579" t="s">
        <v>73</v>
      </c>
    </row>
    <row r="93" spans="2:2" x14ac:dyDescent="0.25">
      <c r="B93" s="579"/>
    </row>
    <row r="94" spans="2:2" ht="15.5" x14ac:dyDescent="0.35">
      <c r="B94" s="580" t="s">
        <v>74</v>
      </c>
    </row>
    <row r="95" spans="2:2" ht="15.5" x14ac:dyDescent="0.35">
      <c r="B95" s="578"/>
    </row>
    <row r="96" spans="2:2" ht="15.5" x14ac:dyDescent="0.4">
      <c r="B96" s="579" t="s">
        <v>75</v>
      </c>
    </row>
    <row r="97" spans="2:2" x14ac:dyDescent="0.25">
      <c r="B97" s="579" t="s">
        <v>76</v>
      </c>
    </row>
    <row r="98" spans="2:2" x14ac:dyDescent="0.25">
      <c r="B98" s="579"/>
    </row>
    <row r="99" spans="2:2" ht="15.5" x14ac:dyDescent="0.35">
      <c r="B99" s="580" t="s">
        <v>77</v>
      </c>
    </row>
    <row r="100" spans="2:2" ht="15.5" x14ac:dyDescent="0.35">
      <c r="B100" s="578"/>
    </row>
    <row r="101" spans="2:2" ht="15.5" x14ac:dyDescent="0.4">
      <c r="B101" s="579" t="s">
        <v>78</v>
      </c>
    </row>
    <row r="102" spans="2:2" x14ac:dyDescent="0.25">
      <c r="B102" s="579"/>
    </row>
    <row r="103" spans="2:2" ht="15.5" x14ac:dyDescent="0.35">
      <c r="B103" s="580" t="s">
        <v>79</v>
      </c>
    </row>
    <row r="104" spans="2:2" ht="15.5" x14ac:dyDescent="0.35">
      <c r="B104" s="578"/>
    </row>
    <row r="105" spans="2:2" x14ac:dyDescent="0.25">
      <c r="B105" s="579" t="s">
        <v>80</v>
      </c>
    </row>
    <row r="106" spans="2:2" x14ac:dyDescent="0.25">
      <c r="B106" s="34"/>
    </row>
  </sheetData>
  <sheetProtection algorithmName="SHA-512" hashValue="1Xc/Nv6PlPYlz0cv70DefaTGXbaUv+IZukKGIxqvr2FruzmT/KdkC3IACZmKG0298wE6ljG+Cv7EPVPr2ApxLQ==" saltValue="Uw9zV9tYYmvWjwMP/fLDgw==" spinCount="100000" sheet="1" objects="1" scenarios="1"/>
  <customSheetViews>
    <customSheetView guid="{A6F5A5FB-2E6E-47D3-842C-0D3D06DB341A}" scale="75" fitToPage="1" hiddenRows="1" hiddenColumns="1">
      <selection activeCell="B1" sqref="B1"/>
      <rowBreaks count="1" manualBreakCount="1">
        <brk id="41" min="1" max="1" man="1"/>
      </rowBreaks>
      <pageMargins left="0" right="0" top="0" bottom="0" header="0" footer="0"/>
      <printOptions horizontalCentered="1"/>
      <pageSetup scale="55" fitToHeight="4" orientation="portrait" r:id="rId1"/>
      <headerFooter alignWithMargins="0"/>
    </customSheetView>
  </customSheetViews>
  <phoneticPr fontId="2" type="noConversion"/>
  <printOptions horizontalCentered="1"/>
  <pageMargins left="0.25" right="0.25" top="0.25" bottom="0.25" header="0.25" footer="0.25"/>
  <pageSetup scale="55" fitToHeight="4" orientation="portrait" r:id="rId2"/>
  <headerFooter alignWithMargins="0"/>
  <rowBreaks count="1" manualBreakCount="1">
    <brk id="34" min="1" max="1"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B1:J24"/>
  <sheetViews>
    <sheetView showGridLines="0" topLeftCell="A8" zoomScale="80" zoomScaleNormal="80" workbookViewId="0">
      <selection activeCell="C15" sqref="C15"/>
    </sheetView>
  </sheetViews>
  <sheetFormatPr defaultColWidth="9.1796875" defaultRowHeight="12.5" x14ac:dyDescent="0.25"/>
  <cols>
    <col min="1" max="1" width="4.1796875" style="11" customWidth="1"/>
    <col min="2" max="2" width="21.81640625" style="11" customWidth="1"/>
    <col min="3" max="3" width="23.1796875" style="11" customWidth="1"/>
    <col min="4" max="4" width="10.453125" style="11" bestFit="1" customWidth="1"/>
    <col min="5" max="5" width="12.1796875" style="11" bestFit="1" customWidth="1"/>
    <col min="6" max="6" width="13.453125" style="49" bestFit="1" customWidth="1"/>
    <col min="7" max="7" width="9.1796875" style="11"/>
    <col min="8" max="8" width="36.453125" style="11" customWidth="1"/>
    <col min="9" max="16384" width="9.1796875" style="11"/>
  </cols>
  <sheetData>
    <row r="1" spans="2:9" ht="13" x14ac:dyDescent="0.3">
      <c r="B1" s="12" t="str">
        <f>version</f>
        <v>COPtool Beta Version 2014k - September 2018</v>
      </c>
    </row>
    <row r="2" spans="2:9" ht="13" x14ac:dyDescent="0.3">
      <c r="B2" s="12" t="s">
        <v>81</v>
      </c>
    </row>
    <row r="3" spans="2:9" ht="13" x14ac:dyDescent="0.3">
      <c r="B3" s="12"/>
    </row>
    <row r="4" spans="2:9" ht="18" x14ac:dyDescent="0.4">
      <c r="B4" s="13" t="s">
        <v>490</v>
      </c>
    </row>
    <row r="5" spans="2:9" ht="13" x14ac:dyDescent="0.3">
      <c r="B5" s="3"/>
    </row>
    <row r="6" spans="2:9" ht="13" x14ac:dyDescent="0.3">
      <c r="B6" s="3" t="s">
        <v>83</v>
      </c>
      <c r="C6" s="24"/>
      <c r="D6" s="25"/>
      <c r="E6" s="49"/>
      <c r="G6" s="49"/>
      <c r="H6" s="49"/>
      <c r="I6" s="49"/>
    </row>
    <row r="7" spans="2:9" ht="13" x14ac:dyDescent="0.3">
      <c r="B7" s="208" t="s">
        <v>84</v>
      </c>
      <c r="C7" s="93" t="s">
        <v>138</v>
      </c>
      <c r="D7" s="216"/>
      <c r="E7" s="216"/>
      <c r="F7" s="217"/>
      <c r="G7" s="49"/>
      <c r="H7" s="49"/>
      <c r="I7" s="49"/>
    </row>
    <row r="8" spans="2:9" ht="13" x14ac:dyDescent="0.3">
      <c r="B8" s="210" t="s">
        <v>86</v>
      </c>
      <c r="C8" s="187" t="s">
        <v>87</v>
      </c>
      <c r="D8" s="218"/>
      <c r="E8" s="218"/>
      <c r="F8" s="219"/>
      <c r="G8" s="49"/>
      <c r="H8" s="49"/>
      <c r="I8" s="49"/>
    </row>
    <row r="9" spans="2:9" ht="13" x14ac:dyDescent="0.3">
      <c r="B9" s="322" t="s">
        <v>143</v>
      </c>
      <c r="C9" s="325" t="s">
        <v>144</v>
      </c>
      <c r="D9" s="327"/>
      <c r="E9" s="327"/>
      <c r="F9" s="328"/>
      <c r="G9" s="49"/>
      <c r="H9" s="49"/>
      <c r="I9" s="49"/>
    </row>
    <row r="10" spans="2:9" x14ac:dyDescent="0.25">
      <c r="G10" s="49"/>
      <c r="H10" s="49"/>
      <c r="I10" s="49"/>
    </row>
    <row r="11" spans="2:9" ht="33" customHeight="1" x14ac:dyDescent="0.25">
      <c r="B11" s="220" t="s">
        <v>491</v>
      </c>
    </row>
    <row r="12" spans="2:9" ht="14" x14ac:dyDescent="0.3">
      <c r="B12" s="207" t="s">
        <v>492</v>
      </c>
    </row>
    <row r="13" spans="2:9" ht="48.75" customHeight="1" thickBot="1" x14ac:dyDescent="0.3">
      <c r="B13" s="741" t="s">
        <v>493</v>
      </c>
      <c r="C13" s="741"/>
      <c r="D13" s="741"/>
      <c r="E13" s="741"/>
      <c r="F13" s="741"/>
    </row>
    <row r="14" spans="2:9" s="4" customFormat="1" ht="30.5" thickBot="1" x14ac:dyDescent="0.45">
      <c r="B14" s="223" t="s">
        <v>494</v>
      </c>
      <c r="C14" s="226" t="s">
        <v>495</v>
      </c>
      <c r="D14" s="222" t="s">
        <v>496</v>
      </c>
      <c r="E14" s="109" t="s">
        <v>497</v>
      </c>
      <c r="F14" s="110" t="s">
        <v>498</v>
      </c>
    </row>
    <row r="15" spans="2:9" s="4" customFormat="1" ht="13.5" thickBot="1" x14ac:dyDescent="0.35">
      <c r="B15" s="224">
        <f>'IV. INPUT-Project'!G110</f>
        <v>0</v>
      </c>
      <c r="C15" s="183">
        <f>'III. INPUT-Baseline'!G48</f>
        <v>0</v>
      </c>
      <c r="D15" s="316" t="str">
        <f>IF(ISBLANK('IV. INPUT-Project'!E114), 'IV. INPUT-Project'!D114, 'IV. INPUT-Project'!E114)</f>
        <v/>
      </c>
      <c r="E15" s="152">
        <f>IF(D15="", 0, B15*C15*0.68*D15*0.001)</f>
        <v>0</v>
      </c>
      <c r="F15" s="225">
        <f>E15*gwp_ch4</f>
        <v>0</v>
      </c>
      <c r="H15" s="54"/>
    </row>
    <row r="16" spans="2:9" s="4" customFormat="1" ht="13" x14ac:dyDescent="0.3">
      <c r="D16" s="11"/>
      <c r="E16" s="11"/>
      <c r="H16" s="54"/>
    </row>
    <row r="17" spans="2:10" ht="13" thickBot="1" x14ac:dyDescent="0.3">
      <c r="H17" s="54"/>
    </row>
    <row r="18" spans="2:10" x14ac:dyDescent="0.25">
      <c r="B18" s="742" t="s">
        <v>241</v>
      </c>
      <c r="C18" s="727"/>
      <c r="D18" s="727"/>
      <c r="E18" s="727"/>
      <c r="F18" s="728"/>
      <c r="G18" s="6"/>
      <c r="H18" s="6"/>
      <c r="I18" s="6"/>
      <c r="J18" s="6"/>
    </row>
    <row r="19" spans="2:10" x14ac:dyDescent="0.25">
      <c r="B19" s="729"/>
      <c r="C19" s="678"/>
      <c r="D19" s="678"/>
      <c r="E19" s="678"/>
      <c r="F19" s="730"/>
      <c r="G19" s="6"/>
      <c r="H19" s="6"/>
      <c r="I19" s="6"/>
      <c r="J19" s="6"/>
    </row>
    <row r="20" spans="2:10" x14ac:dyDescent="0.25">
      <c r="B20" s="729"/>
      <c r="C20" s="678"/>
      <c r="D20" s="678"/>
      <c r="E20" s="678"/>
      <c r="F20" s="730"/>
      <c r="G20" s="6"/>
      <c r="H20" s="6"/>
      <c r="I20" s="6"/>
      <c r="J20" s="6"/>
    </row>
    <row r="21" spans="2:10" x14ac:dyDescent="0.25">
      <c r="B21" s="729"/>
      <c r="C21" s="678"/>
      <c r="D21" s="678"/>
      <c r="E21" s="678"/>
      <c r="F21" s="730"/>
      <c r="G21" s="6"/>
      <c r="H21" s="6"/>
      <c r="I21" s="6"/>
      <c r="J21" s="6"/>
    </row>
    <row r="22" spans="2:10" x14ac:dyDescent="0.25">
      <c r="B22" s="729"/>
      <c r="C22" s="678"/>
      <c r="D22" s="678"/>
      <c r="E22" s="678"/>
      <c r="F22" s="730"/>
      <c r="G22" s="6"/>
      <c r="H22" s="6"/>
      <c r="I22" s="6"/>
      <c r="J22" s="6"/>
    </row>
    <row r="23" spans="2:10" x14ac:dyDescent="0.25">
      <c r="B23" s="729"/>
      <c r="C23" s="678"/>
      <c r="D23" s="678"/>
      <c r="E23" s="678"/>
      <c r="F23" s="730"/>
      <c r="G23" s="6"/>
      <c r="H23" s="6"/>
      <c r="I23" s="6"/>
      <c r="J23" s="6"/>
    </row>
    <row r="24" spans="2:10" ht="13" thickBot="1" x14ac:dyDescent="0.3">
      <c r="B24" s="731"/>
      <c r="C24" s="732"/>
      <c r="D24" s="732"/>
      <c r="E24" s="732"/>
      <c r="F24" s="733"/>
      <c r="G24" s="6"/>
      <c r="H24" s="6"/>
      <c r="I24" s="6"/>
      <c r="J24" s="6"/>
    </row>
  </sheetData>
  <sheetProtection password="CCBF" sheet="1" objects="1" scenarios="1"/>
  <customSheetViews>
    <customSheetView guid="{A6F5A5FB-2E6E-47D3-842C-0D3D06DB341A}" scale="75">
      <selection activeCell="B2" sqref="B2"/>
      <pageMargins left="0" right="0" top="0" bottom="0" header="0" footer="0"/>
      <pageSetup scale="73" orientation="landscape" horizontalDpi="1200" verticalDpi="1200" r:id="rId1"/>
      <headerFooter alignWithMargins="0"/>
    </customSheetView>
  </customSheetViews>
  <mergeCells count="2">
    <mergeCell ref="B13:F13"/>
    <mergeCell ref="B18:F24"/>
  </mergeCells>
  <phoneticPr fontId="2" type="noConversion"/>
  <pageMargins left="0.75" right="0.75" top="1" bottom="1" header="0.5" footer="0.5"/>
  <pageSetup scale="73" orientation="landscape" horizontalDpi="1200" verticalDpi="1200"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B1:W251"/>
  <sheetViews>
    <sheetView showGridLines="0" topLeftCell="A36" zoomScale="80" zoomScaleNormal="80" workbookViewId="0">
      <selection activeCell="F51" sqref="F51"/>
    </sheetView>
  </sheetViews>
  <sheetFormatPr defaultColWidth="9.1796875" defaultRowHeight="13" x14ac:dyDescent="0.3"/>
  <cols>
    <col min="1" max="1" width="4.453125" style="11" customWidth="1"/>
    <col min="2" max="2" width="37.1796875" style="24" customWidth="1"/>
    <col min="3" max="3" width="33" style="11" bestFit="1" customWidth="1"/>
    <col min="4" max="4" width="13.1796875" style="11" customWidth="1"/>
    <col min="5" max="5" width="38.1796875" style="61" customWidth="1"/>
    <col min="6" max="6" width="19.1796875" style="262" bestFit="1" customWidth="1"/>
    <col min="7" max="7" width="16" style="11" bestFit="1" customWidth="1"/>
    <col min="8" max="8" width="19.1796875" style="11" bestFit="1" customWidth="1"/>
    <col min="9" max="16384" width="9.1796875" style="11"/>
  </cols>
  <sheetData>
    <row r="1" spans="2:23" ht="17.25" customHeight="1" x14ac:dyDescent="0.3">
      <c r="B1" s="12" t="str">
        <f>version</f>
        <v>COPtool Beta Version 2014k - September 2018</v>
      </c>
    </row>
    <row r="2" spans="2:23" x14ac:dyDescent="0.3">
      <c r="B2" s="12" t="s">
        <v>81</v>
      </c>
    </row>
    <row r="3" spans="2:23" x14ac:dyDescent="0.3">
      <c r="B3" s="12"/>
    </row>
    <row r="4" spans="2:23" ht="18" x14ac:dyDescent="0.4">
      <c r="B4" s="180" t="s">
        <v>499</v>
      </c>
    </row>
    <row r="5" spans="2:23" x14ac:dyDescent="0.3">
      <c r="B5" s="98"/>
    </row>
    <row r="6" spans="2:23" x14ac:dyDescent="0.3">
      <c r="B6" s="3" t="s">
        <v>83</v>
      </c>
      <c r="C6" s="24"/>
      <c r="D6" s="25"/>
      <c r="E6" s="60"/>
      <c r="F6" s="263"/>
      <c r="G6" s="49"/>
      <c r="H6" s="49"/>
      <c r="I6" s="49"/>
    </row>
    <row r="7" spans="2:23" x14ac:dyDescent="0.3">
      <c r="B7" s="92" t="s">
        <v>84</v>
      </c>
      <c r="C7" s="93" t="s">
        <v>138</v>
      </c>
      <c r="D7" s="227"/>
      <c r="E7" s="134"/>
      <c r="F7" s="264"/>
      <c r="G7" s="54"/>
      <c r="H7" s="54"/>
      <c r="I7" s="49"/>
      <c r="T7" s="228"/>
      <c r="U7" s="228"/>
      <c r="V7" s="228"/>
      <c r="W7" s="228"/>
    </row>
    <row r="8" spans="2:23" x14ac:dyDescent="0.3">
      <c r="B8" s="169" t="s">
        <v>86</v>
      </c>
      <c r="C8" s="96" t="s">
        <v>87</v>
      </c>
      <c r="D8" s="97"/>
      <c r="E8" s="60"/>
      <c r="F8" s="32"/>
      <c r="G8" s="54"/>
      <c r="H8" s="54"/>
      <c r="I8" s="49"/>
      <c r="T8" s="228"/>
      <c r="U8" s="228"/>
      <c r="V8" s="228"/>
      <c r="W8" s="228"/>
    </row>
    <row r="9" spans="2:23" x14ac:dyDescent="0.3">
      <c r="B9" s="322" t="s">
        <v>143</v>
      </c>
      <c r="C9" s="318" t="s">
        <v>144</v>
      </c>
      <c r="D9" s="319"/>
      <c r="E9" s="60"/>
      <c r="F9" s="32"/>
      <c r="G9" s="54"/>
      <c r="H9" s="54"/>
      <c r="I9" s="49"/>
      <c r="T9" s="228"/>
      <c r="U9" s="228"/>
      <c r="V9" s="228"/>
      <c r="W9" s="228"/>
    </row>
    <row r="10" spans="2:23" x14ac:dyDescent="0.3">
      <c r="E10" s="60"/>
      <c r="F10" s="32"/>
      <c r="G10" s="54"/>
      <c r="H10" s="54"/>
      <c r="I10" s="49"/>
    </row>
    <row r="11" spans="2:23" ht="15.5" x14ac:dyDescent="0.35">
      <c r="B11" s="86" t="s">
        <v>500</v>
      </c>
    </row>
    <row r="12" spans="2:23" ht="44.25" customHeight="1" x14ac:dyDescent="0.25">
      <c r="B12" s="684" t="s">
        <v>501</v>
      </c>
      <c r="C12" s="684"/>
      <c r="D12" s="684"/>
      <c r="E12" s="684"/>
      <c r="F12" s="265"/>
      <c r="G12" s="34"/>
      <c r="H12" s="34"/>
      <c r="I12" s="34"/>
      <c r="J12" s="34"/>
      <c r="K12" s="34"/>
      <c r="L12" s="34"/>
    </row>
    <row r="13" spans="2:23" ht="13.5" thickBot="1" x14ac:dyDescent="0.35">
      <c r="B13" s="117"/>
    </row>
    <row r="14" spans="2:23" ht="13.5" thickBot="1" x14ac:dyDescent="0.35">
      <c r="B14" s="746">
        <f>'III. INPUT-Baseline'!B54</f>
        <v>0</v>
      </c>
      <c r="C14" s="747"/>
      <c r="E14" s="39"/>
      <c r="N14" s="25"/>
    </row>
    <row r="15" spans="2:23" ht="15" x14ac:dyDescent="0.4">
      <c r="B15" s="229" t="s">
        <v>502</v>
      </c>
      <c r="C15" s="230">
        <f>'VI. Baseline Non-Anaerobic CH4'!E16</f>
        <v>0</v>
      </c>
      <c r="D15" s="231"/>
      <c r="E15" s="232"/>
      <c r="F15" s="266"/>
      <c r="G15" s="231"/>
      <c r="H15" s="231"/>
      <c r="I15" s="231"/>
      <c r="J15" s="231"/>
      <c r="N15" s="25"/>
    </row>
    <row r="16" spans="2:23" ht="16.5" thickBot="1" x14ac:dyDescent="0.45">
      <c r="B16" s="234" t="s">
        <v>503</v>
      </c>
      <c r="C16" s="235">
        <f>'III. INPUT-Baseline'!C111</f>
        <v>0</v>
      </c>
      <c r="D16" s="231"/>
      <c r="E16" s="232"/>
      <c r="F16" s="266"/>
      <c r="G16" s="231"/>
      <c r="H16" s="231"/>
      <c r="I16" s="231"/>
      <c r="J16" s="231"/>
      <c r="N16" s="25"/>
    </row>
    <row r="17" spans="2:14" ht="13.5" thickBot="1" x14ac:dyDescent="0.35">
      <c r="B17" s="236"/>
      <c r="C17" s="237"/>
      <c r="D17" s="231"/>
      <c r="E17" s="232"/>
      <c r="F17" s="266"/>
      <c r="G17" s="231"/>
      <c r="H17" s="231"/>
      <c r="I17" s="231"/>
      <c r="J17" s="231"/>
      <c r="N17" s="25"/>
    </row>
    <row r="18" spans="2:14" s="4" customFormat="1" ht="28.5" thickBot="1" x14ac:dyDescent="0.45">
      <c r="B18" s="252" t="s">
        <v>504</v>
      </c>
      <c r="C18" s="166" t="s">
        <v>505</v>
      </c>
      <c r="D18" s="166" t="s">
        <v>506</v>
      </c>
      <c r="E18" s="253" t="s">
        <v>507</v>
      </c>
      <c r="F18" s="261" t="s">
        <v>508</v>
      </c>
      <c r="G18" s="60"/>
    </row>
    <row r="19" spans="2:14" ht="12.5" x14ac:dyDescent="0.25">
      <c r="B19" s="249">
        <f>'IV. INPUT-Project'!$B$123</f>
        <v>0</v>
      </c>
      <c r="C19" s="181">
        <f>'IV. INPUT-Project'!$C$123</f>
        <v>0</v>
      </c>
      <c r="D19" s="181">
        <f>'IV. INPUT-Project'!C140</f>
        <v>0</v>
      </c>
      <c r="E19" s="258">
        <f>C19*D19</f>
        <v>0</v>
      </c>
      <c r="F19" s="743"/>
      <c r="G19" s="39"/>
    </row>
    <row r="20" spans="2:14" ht="12.5" x14ac:dyDescent="0.25">
      <c r="B20" s="239">
        <f>'IV. INPUT-Project'!$B$124</f>
        <v>0</v>
      </c>
      <c r="C20" s="177">
        <f>'IV. INPUT-Project'!$C$124</f>
        <v>0</v>
      </c>
      <c r="D20" s="177">
        <f>'IV. INPUT-Project'!C141</f>
        <v>0</v>
      </c>
      <c r="E20" s="238">
        <f t="shared" ref="E20:E30" si="0">C20*D20</f>
        <v>0</v>
      </c>
      <c r="F20" s="744"/>
      <c r="G20" s="67"/>
    </row>
    <row r="21" spans="2:14" ht="12.5" x14ac:dyDescent="0.25">
      <c r="B21" s="239">
        <f>'IV. INPUT-Project'!$B$126</f>
        <v>0</v>
      </c>
      <c r="C21" s="177">
        <f>'IV. INPUT-Project'!$C$126</f>
        <v>0</v>
      </c>
      <c r="D21" s="177">
        <f>'IV. INPUT-Project'!C144</f>
        <v>0</v>
      </c>
      <c r="E21" s="238">
        <f t="shared" si="0"/>
        <v>0</v>
      </c>
      <c r="F21" s="744"/>
      <c r="G21" s="39"/>
    </row>
    <row r="22" spans="2:14" ht="12.5" x14ac:dyDescent="0.25">
      <c r="B22" s="239">
        <f>'IV. INPUT-Project'!$B$127</f>
        <v>0</v>
      </c>
      <c r="C22" s="177">
        <f>'IV. INPUT-Project'!$C$127</f>
        <v>0</v>
      </c>
      <c r="D22" s="177">
        <f>'IV. INPUT-Project'!C145</f>
        <v>0</v>
      </c>
      <c r="E22" s="238">
        <f t="shared" si="0"/>
        <v>0</v>
      </c>
      <c r="F22" s="744"/>
      <c r="G22" s="39"/>
    </row>
    <row r="23" spans="2:14" ht="12.5" x14ac:dyDescent="0.25">
      <c r="B23" s="239">
        <f>'IV. INPUT-Project'!$B$128</f>
        <v>0</v>
      </c>
      <c r="C23" s="177">
        <f>'IV. INPUT-Project'!$C$128</f>
        <v>0</v>
      </c>
      <c r="D23" s="177">
        <f>'IV. INPUT-Project'!C146</f>
        <v>0</v>
      </c>
      <c r="E23" s="238">
        <f t="shared" si="0"/>
        <v>0</v>
      </c>
      <c r="F23" s="744"/>
      <c r="G23" s="39"/>
    </row>
    <row r="24" spans="2:14" ht="12.5" x14ac:dyDescent="0.25">
      <c r="B24" s="239">
        <f>'IV. INPUT-Project'!$B$129</f>
        <v>0</v>
      </c>
      <c r="C24" s="177">
        <f>'IV. INPUT-Project'!$C$129</f>
        <v>0</v>
      </c>
      <c r="D24" s="177">
        <f>'IV. INPUT-Project'!C147</f>
        <v>0</v>
      </c>
      <c r="E24" s="238">
        <f t="shared" si="0"/>
        <v>0</v>
      </c>
      <c r="F24" s="744"/>
      <c r="G24" s="39"/>
    </row>
    <row r="25" spans="2:14" ht="12.5" x14ac:dyDescent="0.25">
      <c r="B25" s="239">
        <f>'IV. INPUT-Project'!$B$130</f>
        <v>0</v>
      </c>
      <c r="C25" s="177">
        <f>'IV. INPUT-Project'!$C$130</f>
        <v>0</v>
      </c>
      <c r="D25" s="177">
        <f>'IV. INPUT-Project'!C148</f>
        <v>0</v>
      </c>
      <c r="E25" s="238">
        <f t="shared" si="0"/>
        <v>0</v>
      </c>
      <c r="F25" s="744"/>
      <c r="G25" s="39"/>
    </row>
    <row r="26" spans="2:14" ht="12.5" x14ac:dyDescent="0.25">
      <c r="B26" s="239">
        <f>'IV. INPUT-Project'!$B$131</f>
        <v>0</v>
      </c>
      <c r="C26" s="177">
        <f>'IV. INPUT-Project'!$C$131</f>
        <v>0</v>
      </c>
      <c r="D26" s="177">
        <f>'IV. INPUT-Project'!C149</f>
        <v>0</v>
      </c>
      <c r="E26" s="238">
        <f t="shared" si="0"/>
        <v>0</v>
      </c>
      <c r="F26" s="744"/>
      <c r="G26" s="39"/>
    </row>
    <row r="27" spans="2:14" ht="12.5" x14ac:dyDescent="0.25">
      <c r="B27" s="239">
        <f>'IV. INPUT-Project'!$B$132</f>
        <v>0</v>
      </c>
      <c r="C27" s="177">
        <f>'IV. INPUT-Project'!$C$132</f>
        <v>0</v>
      </c>
      <c r="D27" s="177">
        <f>'IV. INPUT-Project'!C150</f>
        <v>0</v>
      </c>
      <c r="E27" s="238">
        <f t="shared" si="0"/>
        <v>0</v>
      </c>
      <c r="F27" s="744"/>
      <c r="G27" s="39"/>
    </row>
    <row r="28" spans="2:14" ht="12.5" x14ac:dyDescent="0.25">
      <c r="B28" s="239">
        <f>'IV. INPUT-Project'!$B$133</f>
        <v>0</v>
      </c>
      <c r="C28" s="177">
        <f>'IV. INPUT-Project'!$C$133</f>
        <v>0</v>
      </c>
      <c r="D28" s="177">
        <f>'IV. INPUT-Project'!C151</f>
        <v>0</v>
      </c>
      <c r="E28" s="238">
        <f t="shared" si="0"/>
        <v>0</v>
      </c>
      <c r="F28" s="744"/>
      <c r="G28" s="39"/>
    </row>
    <row r="29" spans="2:14" ht="12.5" x14ac:dyDescent="0.25">
      <c r="B29" s="239">
        <f>'IV. INPUT-Project'!$B$134</f>
        <v>0</v>
      </c>
      <c r="C29" s="177">
        <f>'IV. INPUT-Project'!$C$134</f>
        <v>0</v>
      </c>
      <c r="D29" s="177">
        <f>'IV. INPUT-Project'!C152</f>
        <v>0</v>
      </c>
      <c r="E29" s="238">
        <f t="shared" si="0"/>
        <v>0</v>
      </c>
      <c r="F29" s="744"/>
      <c r="G29" s="39"/>
    </row>
    <row r="30" spans="2:14" thickBot="1" x14ac:dyDescent="0.3">
      <c r="B30" s="251">
        <f>'IV. INPUT-Project'!$B$135</f>
        <v>0</v>
      </c>
      <c r="C30" s="182">
        <f>'IV. INPUT-Project'!$C$135</f>
        <v>0</v>
      </c>
      <c r="D30" s="182">
        <f>'IV. INPUT-Project'!C153</f>
        <v>0</v>
      </c>
      <c r="E30" s="257">
        <f t="shared" si="0"/>
        <v>0</v>
      </c>
      <c r="F30" s="745"/>
      <c r="G30" s="39"/>
    </row>
    <row r="31" spans="2:14" ht="13.5" thickBot="1" x14ac:dyDescent="0.35">
      <c r="B31" s="254" t="s">
        <v>449</v>
      </c>
      <c r="C31" s="255">
        <f>SUM(C19:C30)</f>
        <v>0</v>
      </c>
      <c r="D31" s="256">
        <f>SUM(D19:D30)</f>
        <v>0</v>
      </c>
      <c r="E31" s="257">
        <f>SUM(E19:E30)</f>
        <v>0</v>
      </c>
      <c r="F31" s="267">
        <f>(C15*C16*'III. INPUT-Baseline'!G48*0.68)*(E31)</f>
        <v>0</v>
      </c>
      <c r="G31" s="39"/>
    </row>
    <row r="32" spans="2:14" x14ac:dyDescent="0.3">
      <c r="B32" s="98"/>
      <c r="E32" s="11"/>
      <c r="F32" s="268"/>
      <c r="G32" s="39"/>
    </row>
    <row r="33" spans="2:11" ht="13.5" thickBot="1" x14ac:dyDescent="0.35">
      <c r="B33" s="98"/>
      <c r="E33" s="11"/>
      <c r="F33" s="268"/>
      <c r="G33" s="39"/>
    </row>
    <row r="34" spans="2:11" ht="13.5" customHeight="1" thickBot="1" x14ac:dyDescent="0.35">
      <c r="B34" s="748">
        <f>'III. INPUT-Baseline'!B55</f>
        <v>0</v>
      </c>
      <c r="C34" s="749"/>
      <c r="D34" s="117"/>
      <c r="E34" s="117"/>
      <c r="F34" s="269"/>
      <c r="G34" s="71"/>
      <c r="H34" s="117"/>
      <c r="I34" s="117"/>
      <c r="J34" s="117"/>
      <c r="K34" s="117"/>
    </row>
    <row r="35" spans="2:11" ht="15" x14ac:dyDescent="0.4">
      <c r="B35" s="229" t="s">
        <v>502</v>
      </c>
      <c r="C35" s="230">
        <f>'VI. Baseline Non-Anaerobic CH4'!E17</f>
        <v>0</v>
      </c>
      <c r="D35" s="231"/>
      <c r="E35" s="231"/>
      <c r="F35" s="270"/>
      <c r="G35" s="233"/>
      <c r="H35" s="231"/>
      <c r="I35" s="231"/>
      <c r="J35" s="231"/>
      <c r="K35" s="231"/>
    </row>
    <row r="36" spans="2:11" ht="16.5" thickBot="1" x14ac:dyDescent="0.45">
      <c r="B36" s="234" t="s">
        <v>503</v>
      </c>
      <c r="C36" s="235">
        <f>'III. INPUT-Baseline'!C112</f>
        <v>0</v>
      </c>
      <c r="D36" s="231"/>
      <c r="E36" s="231"/>
      <c r="F36" s="270"/>
      <c r="G36" s="233"/>
      <c r="H36" s="231"/>
      <c r="I36" s="231"/>
      <c r="J36" s="231"/>
      <c r="K36" s="231"/>
    </row>
    <row r="37" spans="2:11" ht="13.5" thickBot="1" x14ac:dyDescent="0.35">
      <c r="B37" s="236"/>
      <c r="C37" s="237"/>
      <c r="D37" s="231"/>
      <c r="E37" s="231"/>
      <c r="F37" s="270"/>
      <c r="G37" s="233"/>
      <c r="H37" s="231"/>
      <c r="I37" s="231"/>
      <c r="J37" s="231"/>
      <c r="K37" s="231"/>
    </row>
    <row r="38" spans="2:11" s="4" customFormat="1" ht="28.5" thickBot="1" x14ac:dyDescent="0.45">
      <c r="B38" s="252" t="s">
        <v>504</v>
      </c>
      <c r="C38" s="166" t="s">
        <v>505</v>
      </c>
      <c r="D38" s="166" t="s">
        <v>506</v>
      </c>
      <c r="E38" s="253" t="s">
        <v>507</v>
      </c>
      <c r="F38" s="261" t="s">
        <v>508</v>
      </c>
      <c r="G38" s="60"/>
    </row>
    <row r="39" spans="2:11" ht="12.5" x14ac:dyDescent="0.25">
      <c r="B39" s="249">
        <f>'IV. INPUT-Project'!$B$123</f>
        <v>0</v>
      </c>
      <c r="C39" s="181">
        <f>'IV. INPUT-Project'!$C$123</f>
        <v>0</v>
      </c>
      <c r="D39" s="181">
        <f>'IV. INPUT-Project'!D140</f>
        <v>0</v>
      </c>
      <c r="E39" s="258">
        <f>C39*D39</f>
        <v>0</v>
      </c>
      <c r="F39" s="743"/>
      <c r="G39" s="39"/>
    </row>
    <row r="40" spans="2:11" ht="12.5" x14ac:dyDescent="0.25">
      <c r="B40" s="239">
        <f>'IV. INPUT-Project'!$B$124</f>
        <v>0</v>
      </c>
      <c r="C40" s="177">
        <f>'IV. INPUT-Project'!$C$124</f>
        <v>0</v>
      </c>
      <c r="D40" s="177">
        <f>'IV. INPUT-Project'!D141</f>
        <v>0</v>
      </c>
      <c r="E40" s="238">
        <f t="shared" ref="E40:E50" si="1">C40*D40</f>
        <v>0</v>
      </c>
      <c r="F40" s="744"/>
      <c r="G40" s="39"/>
    </row>
    <row r="41" spans="2:11" ht="12.5" x14ac:dyDescent="0.25">
      <c r="B41" s="239">
        <f>'IV. INPUT-Project'!$B$126</f>
        <v>0</v>
      </c>
      <c r="C41" s="177">
        <f>'IV. INPUT-Project'!$C$126</f>
        <v>0</v>
      </c>
      <c r="D41" s="177">
        <f>'IV. INPUT-Project'!D144</f>
        <v>0</v>
      </c>
      <c r="E41" s="238">
        <f t="shared" si="1"/>
        <v>0</v>
      </c>
      <c r="F41" s="744"/>
      <c r="G41" s="39"/>
    </row>
    <row r="42" spans="2:11" ht="12.5" x14ac:dyDescent="0.25">
      <c r="B42" s="239">
        <f>'IV. INPUT-Project'!$B$127</f>
        <v>0</v>
      </c>
      <c r="C42" s="177">
        <f>'IV. INPUT-Project'!$C$127</f>
        <v>0</v>
      </c>
      <c r="D42" s="177">
        <f>'IV. INPUT-Project'!D145</f>
        <v>0</v>
      </c>
      <c r="E42" s="238">
        <f t="shared" si="1"/>
        <v>0</v>
      </c>
      <c r="F42" s="744"/>
      <c r="G42" s="39"/>
    </row>
    <row r="43" spans="2:11" ht="12.5" x14ac:dyDescent="0.25">
      <c r="B43" s="239">
        <f>'IV. INPUT-Project'!$B$128</f>
        <v>0</v>
      </c>
      <c r="C43" s="177">
        <f>'IV. INPUT-Project'!$C$128</f>
        <v>0</v>
      </c>
      <c r="D43" s="177">
        <f>'IV. INPUT-Project'!D146</f>
        <v>0</v>
      </c>
      <c r="E43" s="238">
        <f t="shared" si="1"/>
        <v>0</v>
      </c>
      <c r="F43" s="744"/>
      <c r="G43" s="39"/>
    </row>
    <row r="44" spans="2:11" ht="12.5" x14ac:dyDescent="0.25">
      <c r="B44" s="239">
        <f>'IV. INPUT-Project'!$B$129</f>
        <v>0</v>
      </c>
      <c r="C44" s="177">
        <f>'IV. INPUT-Project'!$C$129</f>
        <v>0</v>
      </c>
      <c r="D44" s="177">
        <f>'IV. INPUT-Project'!D147</f>
        <v>0</v>
      </c>
      <c r="E44" s="238">
        <f t="shared" si="1"/>
        <v>0</v>
      </c>
      <c r="F44" s="744"/>
      <c r="G44" s="39"/>
    </row>
    <row r="45" spans="2:11" ht="12.5" x14ac:dyDescent="0.25">
      <c r="B45" s="239">
        <f>'IV. INPUT-Project'!$B$130</f>
        <v>0</v>
      </c>
      <c r="C45" s="177">
        <f>'IV. INPUT-Project'!$C$130</f>
        <v>0</v>
      </c>
      <c r="D45" s="177">
        <f>'IV. INPUT-Project'!D148</f>
        <v>0</v>
      </c>
      <c r="E45" s="238">
        <f t="shared" si="1"/>
        <v>0</v>
      </c>
      <c r="F45" s="744"/>
      <c r="G45" s="39"/>
    </row>
    <row r="46" spans="2:11" ht="12.5" x14ac:dyDescent="0.25">
      <c r="B46" s="239">
        <f>'IV. INPUT-Project'!$B$131</f>
        <v>0</v>
      </c>
      <c r="C46" s="177">
        <f>'IV. INPUT-Project'!$C$131</f>
        <v>0</v>
      </c>
      <c r="D46" s="177">
        <f>'IV. INPUT-Project'!D149</f>
        <v>0</v>
      </c>
      <c r="E46" s="238">
        <f t="shared" si="1"/>
        <v>0</v>
      </c>
      <c r="F46" s="744"/>
      <c r="G46" s="39"/>
    </row>
    <row r="47" spans="2:11" ht="12.5" x14ac:dyDescent="0.25">
      <c r="B47" s="239">
        <f>'IV. INPUT-Project'!$B$132</f>
        <v>0</v>
      </c>
      <c r="C47" s="177">
        <f>'IV. INPUT-Project'!$C$132</f>
        <v>0</v>
      </c>
      <c r="D47" s="177">
        <f>'IV. INPUT-Project'!D150</f>
        <v>0</v>
      </c>
      <c r="E47" s="238">
        <f t="shared" si="1"/>
        <v>0</v>
      </c>
      <c r="F47" s="744"/>
      <c r="G47" s="39"/>
    </row>
    <row r="48" spans="2:11" ht="12.5" x14ac:dyDescent="0.25">
      <c r="B48" s="239">
        <f>'IV. INPUT-Project'!$B$133</f>
        <v>0</v>
      </c>
      <c r="C48" s="177">
        <f>'IV. INPUT-Project'!$C$133</f>
        <v>0</v>
      </c>
      <c r="D48" s="177">
        <f>'IV. INPUT-Project'!D151</f>
        <v>0</v>
      </c>
      <c r="E48" s="238">
        <f t="shared" si="1"/>
        <v>0</v>
      </c>
      <c r="F48" s="744"/>
      <c r="G48" s="39"/>
    </row>
    <row r="49" spans="2:11" ht="12.5" x14ac:dyDescent="0.25">
      <c r="B49" s="239">
        <f>'IV. INPUT-Project'!$B$134</f>
        <v>0</v>
      </c>
      <c r="C49" s="177">
        <f>'IV. INPUT-Project'!$C$134</f>
        <v>0</v>
      </c>
      <c r="D49" s="177">
        <f>'IV. INPUT-Project'!D152</f>
        <v>0</v>
      </c>
      <c r="E49" s="238">
        <f t="shared" si="1"/>
        <v>0</v>
      </c>
      <c r="F49" s="744"/>
      <c r="G49" s="39"/>
    </row>
    <row r="50" spans="2:11" thickBot="1" x14ac:dyDescent="0.3">
      <c r="B50" s="251">
        <f>'IV. INPUT-Project'!$B$135</f>
        <v>0</v>
      </c>
      <c r="C50" s="182">
        <f>'IV. INPUT-Project'!$C$135</f>
        <v>0</v>
      </c>
      <c r="D50" s="182">
        <f>'IV. INPUT-Project'!D153</f>
        <v>0</v>
      </c>
      <c r="E50" s="257">
        <f t="shared" si="1"/>
        <v>0</v>
      </c>
      <c r="F50" s="745"/>
      <c r="G50" s="39"/>
    </row>
    <row r="51" spans="2:11" ht="13.5" thickBot="1" x14ac:dyDescent="0.35">
      <c r="B51" s="254" t="s">
        <v>449</v>
      </c>
      <c r="C51" s="255">
        <f>SUM(C39:C50)</f>
        <v>0</v>
      </c>
      <c r="D51" s="256">
        <f>SUM(D39:D50)</f>
        <v>0</v>
      </c>
      <c r="E51" s="257">
        <f>SUM(E39:E50)</f>
        <v>0</v>
      </c>
      <c r="F51" s="267">
        <f>(C35*C36*'III. INPUT-Baseline'!G48*0.68)*(E51)</f>
        <v>0</v>
      </c>
      <c r="G51" s="39"/>
    </row>
    <row r="52" spans="2:11" x14ac:dyDescent="0.3">
      <c r="B52" s="98"/>
      <c r="E52" s="11"/>
      <c r="F52" s="268"/>
      <c r="G52" s="39"/>
    </row>
    <row r="53" spans="2:11" ht="13.5" thickBot="1" x14ac:dyDescent="0.35">
      <c r="B53" s="98"/>
      <c r="E53" s="11"/>
      <c r="F53" s="268"/>
      <c r="G53" s="39"/>
    </row>
    <row r="54" spans="2:11" ht="13.5" thickBot="1" x14ac:dyDescent="0.35">
      <c r="B54" s="746">
        <f>'III. INPUT-Baseline'!B56</f>
        <v>0</v>
      </c>
      <c r="C54" s="747"/>
      <c r="D54" s="240"/>
      <c r="E54" s="240"/>
      <c r="F54" s="271"/>
      <c r="G54" s="241"/>
      <c r="H54" s="240"/>
      <c r="I54" s="240"/>
      <c r="J54" s="240"/>
      <c r="K54" s="240"/>
    </row>
    <row r="55" spans="2:11" ht="15" x14ac:dyDescent="0.4">
      <c r="B55" s="229" t="s">
        <v>502</v>
      </c>
      <c r="C55" s="230">
        <f>'VI. Baseline Non-Anaerobic CH4'!E18</f>
        <v>0</v>
      </c>
      <c r="D55" s="231"/>
      <c r="E55" s="231"/>
      <c r="F55" s="270"/>
      <c r="G55" s="233"/>
      <c r="H55" s="231"/>
      <c r="I55" s="231"/>
      <c r="J55" s="231"/>
      <c r="K55" s="231"/>
    </row>
    <row r="56" spans="2:11" ht="16.5" thickBot="1" x14ac:dyDescent="0.45">
      <c r="B56" s="234" t="s">
        <v>503</v>
      </c>
      <c r="C56" s="235">
        <f>'III. INPUT-Baseline'!C113</f>
        <v>0</v>
      </c>
      <c r="D56" s="231"/>
      <c r="E56" s="231"/>
      <c r="F56" s="270"/>
      <c r="G56" s="233"/>
      <c r="H56" s="231"/>
      <c r="I56" s="231"/>
      <c r="J56" s="231"/>
      <c r="K56" s="231"/>
    </row>
    <row r="57" spans="2:11" ht="13.5" thickBot="1" x14ac:dyDescent="0.35">
      <c r="B57" s="236"/>
      <c r="C57" s="237"/>
      <c r="D57" s="231"/>
      <c r="E57" s="231"/>
      <c r="F57" s="270"/>
      <c r="G57" s="233"/>
      <c r="H57" s="231"/>
      <c r="I57" s="231"/>
      <c r="J57" s="231"/>
      <c r="K57" s="231"/>
    </row>
    <row r="58" spans="2:11" s="4" customFormat="1" ht="28.5" thickBot="1" x14ac:dyDescent="0.45">
      <c r="B58" s="252" t="s">
        <v>509</v>
      </c>
      <c r="C58" s="166" t="s">
        <v>505</v>
      </c>
      <c r="D58" s="166" t="s">
        <v>506</v>
      </c>
      <c r="E58" s="253" t="s">
        <v>507</v>
      </c>
      <c r="F58" s="261" t="s">
        <v>508</v>
      </c>
      <c r="G58" s="60"/>
    </row>
    <row r="59" spans="2:11" ht="12.5" x14ac:dyDescent="0.25">
      <c r="B59" s="249">
        <f>'IV. INPUT-Project'!$B$123</f>
        <v>0</v>
      </c>
      <c r="C59" s="181">
        <f>'IV. INPUT-Project'!$C$123</f>
        <v>0</v>
      </c>
      <c r="D59" s="181">
        <f>'IV. INPUT-Project'!E140</f>
        <v>0</v>
      </c>
      <c r="E59" s="258">
        <f>C59*D59</f>
        <v>0</v>
      </c>
      <c r="F59" s="743"/>
      <c r="G59" s="39"/>
    </row>
    <row r="60" spans="2:11" ht="12.5" x14ac:dyDescent="0.25">
      <c r="B60" s="239">
        <f>'IV. INPUT-Project'!$B$124</f>
        <v>0</v>
      </c>
      <c r="C60" s="177">
        <f>'IV. INPUT-Project'!$C$124</f>
        <v>0</v>
      </c>
      <c r="D60" s="177">
        <f>'IV. INPUT-Project'!E141</f>
        <v>0</v>
      </c>
      <c r="E60" s="238">
        <f t="shared" ref="E60:E70" si="2">C60*D60</f>
        <v>0</v>
      </c>
      <c r="F60" s="744"/>
      <c r="G60" s="39"/>
    </row>
    <row r="61" spans="2:11" ht="12.5" x14ac:dyDescent="0.25">
      <c r="B61" s="239">
        <f>'IV. INPUT-Project'!$B$126</f>
        <v>0</v>
      </c>
      <c r="C61" s="177">
        <f>'IV. INPUT-Project'!$C$126</f>
        <v>0</v>
      </c>
      <c r="D61" s="177">
        <f>'IV. INPUT-Project'!E144</f>
        <v>0</v>
      </c>
      <c r="E61" s="238">
        <f t="shared" si="2"/>
        <v>0</v>
      </c>
      <c r="F61" s="744"/>
      <c r="G61" s="39"/>
    </row>
    <row r="62" spans="2:11" ht="12.5" x14ac:dyDescent="0.25">
      <c r="B62" s="239">
        <f>'IV. INPUT-Project'!$B$127</f>
        <v>0</v>
      </c>
      <c r="C62" s="177">
        <f>'IV. INPUT-Project'!$C$127</f>
        <v>0</v>
      </c>
      <c r="D62" s="177">
        <f>'IV. INPUT-Project'!E145</f>
        <v>0</v>
      </c>
      <c r="E62" s="238">
        <f t="shared" si="2"/>
        <v>0</v>
      </c>
      <c r="F62" s="744"/>
      <c r="G62" s="39"/>
    </row>
    <row r="63" spans="2:11" ht="12.5" x14ac:dyDescent="0.25">
      <c r="B63" s="239">
        <f>'IV. INPUT-Project'!$B$128</f>
        <v>0</v>
      </c>
      <c r="C63" s="177">
        <f>'IV. INPUT-Project'!$C$128</f>
        <v>0</v>
      </c>
      <c r="D63" s="177">
        <f>'IV. INPUT-Project'!E146</f>
        <v>0</v>
      </c>
      <c r="E63" s="238">
        <f t="shared" si="2"/>
        <v>0</v>
      </c>
      <c r="F63" s="744"/>
      <c r="G63" s="39"/>
    </row>
    <row r="64" spans="2:11" ht="12.5" x14ac:dyDescent="0.25">
      <c r="B64" s="239">
        <f>'IV. INPUT-Project'!$B$129</f>
        <v>0</v>
      </c>
      <c r="C64" s="177">
        <f>'IV. INPUT-Project'!$C$129</f>
        <v>0</v>
      </c>
      <c r="D64" s="177">
        <f>'IV. INPUT-Project'!E147</f>
        <v>0</v>
      </c>
      <c r="E64" s="238">
        <f t="shared" si="2"/>
        <v>0</v>
      </c>
      <c r="F64" s="744"/>
      <c r="G64" s="39"/>
    </row>
    <row r="65" spans="2:11" ht="12.5" x14ac:dyDescent="0.25">
      <c r="B65" s="239">
        <f>'IV. INPUT-Project'!$B$130</f>
        <v>0</v>
      </c>
      <c r="C65" s="177">
        <f>'IV. INPUT-Project'!$C$130</f>
        <v>0</v>
      </c>
      <c r="D65" s="177">
        <f>'IV. INPUT-Project'!E148</f>
        <v>0</v>
      </c>
      <c r="E65" s="238">
        <f t="shared" si="2"/>
        <v>0</v>
      </c>
      <c r="F65" s="744"/>
      <c r="G65" s="39"/>
    </row>
    <row r="66" spans="2:11" ht="12.5" x14ac:dyDescent="0.25">
      <c r="B66" s="239">
        <f>'IV. INPUT-Project'!$B$131</f>
        <v>0</v>
      </c>
      <c r="C66" s="177">
        <f>'IV. INPUT-Project'!$C$131</f>
        <v>0</v>
      </c>
      <c r="D66" s="177">
        <f>'IV. INPUT-Project'!E149</f>
        <v>0</v>
      </c>
      <c r="E66" s="238">
        <f t="shared" si="2"/>
        <v>0</v>
      </c>
      <c r="F66" s="744"/>
      <c r="G66" s="39"/>
    </row>
    <row r="67" spans="2:11" ht="12.5" x14ac:dyDescent="0.25">
      <c r="B67" s="239">
        <f>'IV. INPUT-Project'!$B$132</f>
        <v>0</v>
      </c>
      <c r="C67" s="177">
        <f>'IV. INPUT-Project'!$C$132</f>
        <v>0</v>
      </c>
      <c r="D67" s="177">
        <f>'IV. INPUT-Project'!E150</f>
        <v>0</v>
      </c>
      <c r="E67" s="238">
        <f t="shared" si="2"/>
        <v>0</v>
      </c>
      <c r="F67" s="744"/>
      <c r="G67" s="39"/>
    </row>
    <row r="68" spans="2:11" ht="12.5" x14ac:dyDescent="0.25">
      <c r="B68" s="239">
        <f>'IV. INPUT-Project'!$B$133</f>
        <v>0</v>
      </c>
      <c r="C68" s="177">
        <f>'IV. INPUT-Project'!$C$133</f>
        <v>0</v>
      </c>
      <c r="D68" s="177">
        <f>'IV. INPUT-Project'!E151</f>
        <v>0</v>
      </c>
      <c r="E68" s="238">
        <f t="shared" si="2"/>
        <v>0</v>
      </c>
      <c r="F68" s="744"/>
      <c r="G68" s="39"/>
    </row>
    <row r="69" spans="2:11" ht="12.5" x14ac:dyDescent="0.25">
      <c r="B69" s="239">
        <f>'IV. INPUT-Project'!$B$134</f>
        <v>0</v>
      </c>
      <c r="C69" s="177">
        <f>'IV. INPUT-Project'!$C$134</f>
        <v>0</v>
      </c>
      <c r="D69" s="177">
        <f>'IV. INPUT-Project'!E152</f>
        <v>0</v>
      </c>
      <c r="E69" s="238">
        <f t="shared" si="2"/>
        <v>0</v>
      </c>
      <c r="F69" s="744"/>
      <c r="G69" s="39"/>
    </row>
    <row r="70" spans="2:11" thickBot="1" x14ac:dyDescent="0.3">
      <c r="B70" s="251">
        <f>'IV. INPUT-Project'!$B$135</f>
        <v>0</v>
      </c>
      <c r="C70" s="182">
        <f>'IV. INPUT-Project'!$C$135</f>
        <v>0</v>
      </c>
      <c r="D70" s="182">
        <f>'IV. INPUT-Project'!E153</f>
        <v>0</v>
      </c>
      <c r="E70" s="257">
        <f t="shared" si="2"/>
        <v>0</v>
      </c>
      <c r="F70" s="745"/>
      <c r="G70" s="39"/>
    </row>
    <row r="71" spans="2:11" ht="13.5" thickBot="1" x14ac:dyDescent="0.35">
      <c r="B71" s="254" t="s">
        <v>449</v>
      </c>
      <c r="C71" s="255">
        <f>SUM(C59:C70)</f>
        <v>0</v>
      </c>
      <c r="D71" s="256">
        <f>SUM(D59:D70)</f>
        <v>0</v>
      </c>
      <c r="E71" s="257">
        <f>SUM(E59:E70)</f>
        <v>0</v>
      </c>
      <c r="F71" s="267">
        <f>(C55*C56*'III. INPUT-Baseline'!G48*0.68)*(E71)</f>
        <v>0</v>
      </c>
      <c r="G71" s="39"/>
    </row>
    <row r="72" spans="2:11" x14ac:dyDescent="0.3">
      <c r="B72" s="98"/>
      <c r="E72" s="11"/>
      <c r="F72" s="268"/>
      <c r="G72" s="39"/>
    </row>
    <row r="73" spans="2:11" ht="13.5" thickBot="1" x14ac:dyDescent="0.35">
      <c r="B73" s="98"/>
      <c r="E73" s="11"/>
      <c r="F73" s="268"/>
      <c r="G73" s="39"/>
    </row>
    <row r="74" spans="2:11" ht="13.5" thickBot="1" x14ac:dyDescent="0.35">
      <c r="B74" s="746">
        <f>'III. INPUT-Baseline'!B57</f>
        <v>0</v>
      </c>
      <c r="C74" s="747"/>
      <c r="D74" s="240"/>
      <c r="E74" s="240"/>
      <c r="F74" s="271"/>
      <c r="G74" s="241"/>
      <c r="H74" s="240"/>
      <c r="I74" s="240"/>
      <c r="J74" s="240"/>
      <c r="K74" s="240"/>
    </row>
    <row r="75" spans="2:11" ht="15" x14ac:dyDescent="0.4">
      <c r="B75" s="229" t="s">
        <v>502</v>
      </c>
      <c r="C75" s="230">
        <f>'VI. Baseline Non-Anaerobic CH4'!E19</f>
        <v>0</v>
      </c>
      <c r="D75" s="231"/>
      <c r="E75" s="231"/>
      <c r="F75" s="270"/>
      <c r="G75" s="233"/>
      <c r="H75" s="231"/>
      <c r="I75" s="231"/>
      <c r="J75" s="231"/>
      <c r="K75" s="231"/>
    </row>
    <row r="76" spans="2:11" ht="16.5" thickBot="1" x14ac:dyDescent="0.45">
      <c r="B76" s="234" t="s">
        <v>503</v>
      </c>
      <c r="C76" s="235">
        <f>'III. INPUT-Baseline'!C114</f>
        <v>0</v>
      </c>
      <c r="D76" s="231"/>
      <c r="E76" s="231"/>
      <c r="F76" s="270"/>
      <c r="G76" s="233"/>
      <c r="H76" s="231"/>
      <c r="I76" s="231"/>
      <c r="J76" s="231"/>
      <c r="K76" s="231"/>
    </row>
    <row r="77" spans="2:11" ht="13.5" thickBot="1" x14ac:dyDescent="0.35">
      <c r="B77" s="236"/>
      <c r="C77" s="237"/>
      <c r="D77" s="231"/>
      <c r="E77" s="231"/>
      <c r="F77" s="270"/>
      <c r="G77" s="233"/>
      <c r="H77" s="231"/>
      <c r="I77" s="231"/>
      <c r="J77" s="231"/>
      <c r="K77" s="231"/>
    </row>
    <row r="78" spans="2:11" s="4" customFormat="1" ht="28.5" thickBot="1" x14ac:dyDescent="0.45">
      <c r="B78" s="252" t="s">
        <v>509</v>
      </c>
      <c r="C78" s="166" t="s">
        <v>505</v>
      </c>
      <c r="D78" s="166" t="s">
        <v>506</v>
      </c>
      <c r="E78" s="253" t="s">
        <v>507</v>
      </c>
      <c r="F78" s="261" t="s">
        <v>508</v>
      </c>
      <c r="G78" s="60"/>
    </row>
    <row r="79" spans="2:11" ht="12.5" x14ac:dyDescent="0.25">
      <c r="B79" s="249">
        <f>'IV. INPUT-Project'!$B$123</f>
        <v>0</v>
      </c>
      <c r="C79" s="181">
        <f>'IV. INPUT-Project'!$C$123</f>
        <v>0</v>
      </c>
      <c r="D79" s="181">
        <f>'IV. INPUT-Project'!F140</f>
        <v>0</v>
      </c>
      <c r="E79" s="258">
        <f>C79*D79</f>
        <v>0</v>
      </c>
      <c r="F79" s="743"/>
      <c r="G79" s="39"/>
    </row>
    <row r="80" spans="2:11" ht="12.5" x14ac:dyDescent="0.25">
      <c r="B80" s="239">
        <f>'IV. INPUT-Project'!$B$124</f>
        <v>0</v>
      </c>
      <c r="C80" s="177">
        <f>'IV. INPUT-Project'!$C$124</f>
        <v>0</v>
      </c>
      <c r="D80" s="177">
        <f>'IV. INPUT-Project'!F141</f>
        <v>0</v>
      </c>
      <c r="E80" s="238">
        <f t="shared" ref="E80:E90" si="3">C80*D80</f>
        <v>0</v>
      </c>
      <c r="F80" s="744"/>
      <c r="G80" s="39"/>
    </row>
    <row r="81" spans="2:11" ht="12.5" x14ac:dyDescent="0.25">
      <c r="B81" s="239">
        <f>'IV. INPUT-Project'!$B$126</f>
        <v>0</v>
      </c>
      <c r="C81" s="177">
        <f>'IV. INPUT-Project'!$C$126</f>
        <v>0</v>
      </c>
      <c r="D81" s="177">
        <f>'IV. INPUT-Project'!F144</f>
        <v>0</v>
      </c>
      <c r="E81" s="238">
        <f t="shared" si="3"/>
        <v>0</v>
      </c>
      <c r="F81" s="744"/>
      <c r="G81" s="39"/>
    </row>
    <row r="82" spans="2:11" ht="12.5" x14ac:dyDescent="0.25">
      <c r="B82" s="239">
        <f>'IV. INPUT-Project'!$B$127</f>
        <v>0</v>
      </c>
      <c r="C82" s="177">
        <f>'IV. INPUT-Project'!$C$127</f>
        <v>0</v>
      </c>
      <c r="D82" s="177">
        <f>'IV. INPUT-Project'!F145</f>
        <v>0</v>
      </c>
      <c r="E82" s="238">
        <f t="shared" si="3"/>
        <v>0</v>
      </c>
      <c r="F82" s="744"/>
      <c r="G82" s="39"/>
    </row>
    <row r="83" spans="2:11" ht="12.5" x14ac:dyDescent="0.25">
      <c r="B83" s="239">
        <f>'IV. INPUT-Project'!$B$128</f>
        <v>0</v>
      </c>
      <c r="C83" s="177">
        <f>'IV. INPUT-Project'!$C$128</f>
        <v>0</v>
      </c>
      <c r="D83" s="177">
        <f>'IV. INPUT-Project'!F146</f>
        <v>0</v>
      </c>
      <c r="E83" s="238">
        <f t="shared" si="3"/>
        <v>0</v>
      </c>
      <c r="F83" s="744"/>
      <c r="G83" s="39"/>
    </row>
    <row r="84" spans="2:11" ht="12.5" x14ac:dyDescent="0.25">
      <c r="B84" s="239">
        <f>'IV. INPUT-Project'!$B$129</f>
        <v>0</v>
      </c>
      <c r="C84" s="177">
        <f>'IV. INPUT-Project'!$C$129</f>
        <v>0</v>
      </c>
      <c r="D84" s="177">
        <f>'IV. INPUT-Project'!F147</f>
        <v>0</v>
      </c>
      <c r="E84" s="238">
        <f t="shared" si="3"/>
        <v>0</v>
      </c>
      <c r="F84" s="744"/>
      <c r="G84" s="39"/>
    </row>
    <row r="85" spans="2:11" ht="12.5" x14ac:dyDescent="0.25">
      <c r="B85" s="239">
        <f>'IV. INPUT-Project'!$B$130</f>
        <v>0</v>
      </c>
      <c r="C85" s="177">
        <f>'IV. INPUT-Project'!$C$130</f>
        <v>0</v>
      </c>
      <c r="D85" s="177">
        <f>'IV. INPUT-Project'!F148</f>
        <v>0</v>
      </c>
      <c r="E85" s="238">
        <f t="shared" si="3"/>
        <v>0</v>
      </c>
      <c r="F85" s="744"/>
      <c r="G85" s="39"/>
    </row>
    <row r="86" spans="2:11" ht="12.5" x14ac:dyDescent="0.25">
      <c r="B86" s="239">
        <f>'IV. INPUT-Project'!$B$131</f>
        <v>0</v>
      </c>
      <c r="C86" s="177">
        <f>'IV. INPUT-Project'!$C$131</f>
        <v>0</v>
      </c>
      <c r="D86" s="177">
        <f>'IV. INPUT-Project'!F149</f>
        <v>0</v>
      </c>
      <c r="E86" s="238">
        <f t="shared" si="3"/>
        <v>0</v>
      </c>
      <c r="F86" s="744"/>
      <c r="G86" s="39"/>
    </row>
    <row r="87" spans="2:11" s="4" customFormat="1" x14ac:dyDescent="0.3">
      <c r="B87" s="239">
        <f>'IV. INPUT-Project'!$B$132</f>
        <v>0</v>
      </c>
      <c r="C87" s="177">
        <f>'IV. INPUT-Project'!$C$132</f>
        <v>0</v>
      </c>
      <c r="D87" s="177">
        <f>'IV. INPUT-Project'!F150</f>
        <v>0</v>
      </c>
      <c r="E87" s="238">
        <f t="shared" si="3"/>
        <v>0</v>
      </c>
      <c r="F87" s="744"/>
      <c r="G87" s="39"/>
      <c r="H87" s="11"/>
      <c r="I87" s="11"/>
      <c r="J87" s="11"/>
      <c r="K87" s="11"/>
    </row>
    <row r="88" spans="2:11" ht="12.5" x14ac:dyDescent="0.25">
      <c r="B88" s="239">
        <f>'IV. INPUT-Project'!$B$133</f>
        <v>0</v>
      </c>
      <c r="C88" s="177">
        <f>'IV. INPUT-Project'!$C$133</f>
        <v>0</v>
      </c>
      <c r="D88" s="177">
        <f>'IV. INPUT-Project'!F151</f>
        <v>0</v>
      </c>
      <c r="E88" s="238">
        <f t="shared" si="3"/>
        <v>0</v>
      </c>
      <c r="F88" s="744"/>
      <c r="G88" s="39"/>
    </row>
    <row r="89" spans="2:11" ht="12.5" x14ac:dyDescent="0.25">
      <c r="B89" s="239">
        <f>'IV. INPUT-Project'!$B$134</f>
        <v>0</v>
      </c>
      <c r="C89" s="177">
        <f>'IV. INPUT-Project'!$C$134</f>
        <v>0</v>
      </c>
      <c r="D89" s="177">
        <f>'IV. INPUT-Project'!F152</f>
        <v>0</v>
      </c>
      <c r="E89" s="238">
        <f t="shared" si="3"/>
        <v>0</v>
      </c>
      <c r="F89" s="744"/>
      <c r="G89" s="39"/>
    </row>
    <row r="90" spans="2:11" thickBot="1" x14ac:dyDescent="0.3">
      <c r="B90" s="251">
        <f>'IV. INPUT-Project'!$B$135</f>
        <v>0</v>
      </c>
      <c r="C90" s="182">
        <f>'IV. INPUT-Project'!$C$135</f>
        <v>0</v>
      </c>
      <c r="D90" s="182">
        <f>'IV. INPUT-Project'!F153</f>
        <v>0</v>
      </c>
      <c r="E90" s="257">
        <f t="shared" si="3"/>
        <v>0</v>
      </c>
      <c r="F90" s="745"/>
      <c r="G90" s="39"/>
    </row>
    <row r="91" spans="2:11" ht="13.5" thickBot="1" x14ac:dyDescent="0.35">
      <c r="B91" s="254" t="s">
        <v>449</v>
      </c>
      <c r="C91" s="255">
        <f>SUM(C79:C90)</f>
        <v>0</v>
      </c>
      <c r="D91" s="256">
        <f>SUM(D79:D90)</f>
        <v>0</v>
      </c>
      <c r="E91" s="257">
        <f>SUM(E79:E90)</f>
        <v>0</v>
      </c>
      <c r="F91" s="267">
        <f>(C75*C76*'III. INPUT-Baseline'!G48*0.68)*(E91)</f>
        <v>0</v>
      </c>
      <c r="G91" s="39"/>
    </row>
    <row r="92" spans="2:11" x14ac:dyDescent="0.3">
      <c r="B92" s="98"/>
      <c r="E92" s="11"/>
      <c r="F92" s="268"/>
      <c r="G92" s="39"/>
    </row>
    <row r="93" spans="2:11" ht="13.5" thickBot="1" x14ac:dyDescent="0.35">
      <c r="B93" s="98"/>
      <c r="E93" s="11"/>
      <c r="F93" s="268"/>
      <c r="G93" s="39"/>
    </row>
    <row r="94" spans="2:11" ht="13.5" thickBot="1" x14ac:dyDescent="0.35">
      <c r="B94" s="746">
        <f>'III. INPUT-Baseline'!B58</f>
        <v>0</v>
      </c>
      <c r="C94" s="747"/>
      <c r="D94" s="240"/>
      <c r="E94" s="240"/>
      <c r="F94" s="271"/>
      <c r="G94" s="241"/>
      <c r="H94" s="240"/>
      <c r="I94" s="240"/>
      <c r="J94" s="240"/>
      <c r="K94" s="240"/>
    </row>
    <row r="95" spans="2:11" ht="15" x14ac:dyDescent="0.4">
      <c r="B95" s="229" t="s">
        <v>502</v>
      </c>
      <c r="C95" s="230">
        <f>'VI. Baseline Non-Anaerobic CH4'!E20</f>
        <v>0</v>
      </c>
      <c r="D95" s="231"/>
      <c r="E95" s="231"/>
      <c r="F95" s="270"/>
      <c r="G95" s="233"/>
      <c r="H95" s="231"/>
      <c r="I95" s="231"/>
      <c r="J95" s="231"/>
      <c r="K95" s="231"/>
    </row>
    <row r="96" spans="2:11" ht="16.5" thickBot="1" x14ac:dyDescent="0.45">
      <c r="B96" s="234" t="s">
        <v>503</v>
      </c>
      <c r="C96" s="235">
        <f>'III. INPUT-Baseline'!C115</f>
        <v>0</v>
      </c>
      <c r="D96" s="231"/>
      <c r="E96" s="231"/>
      <c r="F96" s="270"/>
      <c r="G96" s="233"/>
      <c r="H96" s="242"/>
      <c r="I96" s="231"/>
      <c r="J96" s="231"/>
      <c r="K96" s="231"/>
    </row>
    <row r="97" spans="2:11" ht="13.5" thickBot="1" x14ac:dyDescent="0.35">
      <c r="B97" s="236"/>
      <c r="C97" s="237"/>
      <c r="D97" s="231"/>
      <c r="E97" s="231"/>
      <c r="F97" s="270"/>
      <c r="G97" s="233"/>
      <c r="H97" s="231"/>
      <c r="I97" s="231"/>
      <c r="J97" s="231"/>
      <c r="K97" s="231"/>
    </row>
    <row r="98" spans="2:11" s="4" customFormat="1" ht="28.5" thickBot="1" x14ac:dyDescent="0.45">
      <c r="B98" s="252" t="s">
        <v>509</v>
      </c>
      <c r="C98" s="166" t="s">
        <v>505</v>
      </c>
      <c r="D98" s="166" t="s">
        <v>506</v>
      </c>
      <c r="E98" s="253" t="s">
        <v>507</v>
      </c>
      <c r="F98" s="261" t="s">
        <v>508</v>
      </c>
      <c r="G98" s="60"/>
    </row>
    <row r="99" spans="2:11" ht="12.5" x14ac:dyDescent="0.25">
      <c r="B99" s="249">
        <f>'IV. INPUT-Project'!$B$123</f>
        <v>0</v>
      </c>
      <c r="C99" s="181">
        <f>'IV. INPUT-Project'!$C$123</f>
        <v>0</v>
      </c>
      <c r="D99" s="181">
        <f>'IV. INPUT-Project'!G140</f>
        <v>0</v>
      </c>
      <c r="E99" s="258">
        <f>C99*D99</f>
        <v>0</v>
      </c>
      <c r="F99" s="743"/>
      <c r="G99" s="39"/>
    </row>
    <row r="100" spans="2:11" ht="12.5" x14ac:dyDescent="0.25">
      <c r="B100" s="239">
        <f>'IV. INPUT-Project'!$B$124</f>
        <v>0</v>
      </c>
      <c r="C100" s="177">
        <f>'IV. INPUT-Project'!$C$124</f>
        <v>0</v>
      </c>
      <c r="D100" s="177">
        <f>'IV. INPUT-Project'!G141</f>
        <v>0</v>
      </c>
      <c r="E100" s="238">
        <f t="shared" ref="E100:E110" si="4">C100*D100</f>
        <v>0</v>
      </c>
      <c r="F100" s="744"/>
      <c r="G100" s="39"/>
    </row>
    <row r="101" spans="2:11" ht="12.5" x14ac:dyDescent="0.25">
      <c r="B101" s="239">
        <f>'IV. INPUT-Project'!$B$126</f>
        <v>0</v>
      </c>
      <c r="C101" s="177">
        <f>'IV. INPUT-Project'!$C$126</f>
        <v>0</v>
      </c>
      <c r="D101" s="177">
        <f>'IV. INPUT-Project'!G144</f>
        <v>0</v>
      </c>
      <c r="E101" s="238">
        <f t="shared" si="4"/>
        <v>0</v>
      </c>
      <c r="F101" s="744"/>
      <c r="G101" s="39"/>
    </row>
    <row r="102" spans="2:11" ht="12.5" x14ac:dyDescent="0.25">
      <c r="B102" s="239">
        <f>'IV. INPUT-Project'!$B$127</f>
        <v>0</v>
      </c>
      <c r="C102" s="177">
        <f>'IV. INPUT-Project'!$C$127</f>
        <v>0</v>
      </c>
      <c r="D102" s="177">
        <f>'IV. INPUT-Project'!G145</f>
        <v>0</v>
      </c>
      <c r="E102" s="238">
        <f t="shared" si="4"/>
        <v>0</v>
      </c>
      <c r="F102" s="744"/>
      <c r="G102" s="39"/>
    </row>
    <row r="103" spans="2:11" ht="12.5" x14ac:dyDescent="0.25">
      <c r="B103" s="239">
        <f>'IV. INPUT-Project'!$B$128</f>
        <v>0</v>
      </c>
      <c r="C103" s="177">
        <f>'IV. INPUT-Project'!$C$128</f>
        <v>0</v>
      </c>
      <c r="D103" s="177">
        <f>'IV. INPUT-Project'!G146</f>
        <v>0</v>
      </c>
      <c r="E103" s="238">
        <f t="shared" si="4"/>
        <v>0</v>
      </c>
      <c r="F103" s="744"/>
      <c r="G103" s="39"/>
    </row>
    <row r="104" spans="2:11" ht="12.5" x14ac:dyDescent="0.25">
      <c r="B104" s="239">
        <f>'IV. INPUT-Project'!$B$129</f>
        <v>0</v>
      </c>
      <c r="C104" s="177">
        <f>'IV. INPUT-Project'!$C$129</f>
        <v>0</v>
      </c>
      <c r="D104" s="177">
        <f>'IV. INPUT-Project'!G147</f>
        <v>0</v>
      </c>
      <c r="E104" s="238">
        <f t="shared" si="4"/>
        <v>0</v>
      </c>
      <c r="F104" s="744"/>
      <c r="G104" s="39"/>
    </row>
    <row r="105" spans="2:11" ht="12.5" x14ac:dyDescent="0.25">
      <c r="B105" s="239">
        <f>'IV. INPUT-Project'!$B$130</f>
        <v>0</v>
      </c>
      <c r="C105" s="177">
        <f>'IV. INPUT-Project'!$C$130</f>
        <v>0</v>
      </c>
      <c r="D105" s="177">
        <f>'IV. INPUT-Project'!G148</f>
        <v>0</v>
      </c>
      <c r="E105" s="238">
        <f t="shared" si="4"/>
        <v>0</v>
      </c>
      <c r="F105" s="744"/>
      <c r="G105" s="39"/>
    </row>
    <row r="106" spans="2:11" ht="12.5" x14ac:dyDescent="0.25">
      <c r="B106" s="239">
        <f>'IV. INPUT-Project'!$B$131</f>
        <v>0</v>
      </c>
      <c r="C106" s="177">
        <f>'IV. INPUT-Project'!$C$131</f>
        <v>0</v>
      </c>
      <c r="D106" s="177">
        <f>'IV. INPUT-Project'!G149</f>
        <v>0</v>
      </c>
      <c r="E106" s="238">
        <f t="shared" si="4"/>
        <v>0</v>
      </c>
      <c r="F106" s="744"/>
      <c r="G106" s="39"/>
    </row>
    <row r="107" spans="2:11" ht="12.5" x14ac:dyDescent="0.25">
      <c r="B107" s="239">
        <f>'IV. INPUT-Project'!$B$132</f>
        <v>0</v>
      </c>
      <c r="C107" s="177">
        <f>'IV. INPUT-Project'!$C$132</f>
        <v>0</v>
      </c>
      <c r="D107" s="177">
        <f>'IV. INPUT-Project'!G150</f>
        <v>0</v>
      </c>
      <c r="E107" s="238">
        <f t="shared" si="4"/>
        <v>0</v>
      </c>
      <c r="F107" s="744"/>
      <c r="G107" s="39"/>
    </row>
    <row r="108" spans="2:11" ht="12.5" x14ac:dyDescent="0.25">
      <c r="B108" s="239">
        <f>'IV. INPUT-Project'!$B$133</f>
        <v>0</v>
      </c>
      <c r="C108" s="177">
        <f>'IV. INPUT-Project'!$C$133</f>
        <v>0</v>
      </c>
      <c r="D108" s="177">
        <f>'IV. INPUT-Project'!G151</f>
        <v>0</v>
      </c>
      <c r="E108" s="238">
        <f t="shared" si="4"/>
        <v>0</v>
      </c>
      <c r="F108" s="744"/>
      <c r="G108" s="39"/>
    </row>
    <row r="109" spans="2:11" ht="12.5" x14ac:dyDescent="0.25">
      <c r="B109" s="239">
        <f>'IV. INPUT-Project'!$B$134</f>
        <v>0</v>
      </c>
      <c r="C109" s="177">
        <f>'IV. INPUT-Project'!$C$134</f>
        <v>0</v>
      </c>
      <c r="D109" s="177">
        <f>'IV. INPUT-Project'!G152</f>
        <v>0</v>
      </c>
      <c r="E109" s="238">
        <f t="shared" si="4"/>
        <v>0</v>
      </c>
      <c r="F109" s="744"/>
      <c r="G109" s="39"/>
    </row>
    <row r="110" spans="2:11" thickBot="1" x14ac:dyDescent="0.3">
      <c r="B110" s="251">
        <f>'IV. INPUT-Project'!$B$135</f>
        <v>0</v>
      </c>
      <c r="C110" s="182">
        <f>'IV. INPUT-Project'!$C$135</f>
        <v>0</v>
      </c>
      <c r="D110" s="182">
        <f>'IV. INPUT-Project'!G153</f>
        <v>0</v>
      </c>
      <c r="E110" s="257">
        <f t="shared" si="4"/>
        <v>0</v>
      </c>
      <c r="F110" s="745"/>
      <c r="G110" s="39"/>
    </row>
    <row r="111" spans="2:11" ht="13.5" thickBot="1" x14ac:dyDescent="0.35">
      <c r="B111" s="254" t="s">
        <v>449</v>
      </c>
      <c r="C111" s="255">
        <f>SUM(C99:C110)</f>
        <v>0</v>
      </c>
      <c r="D111" s="256">
        <f>SUM(D99:D110)</f>
        <v>0</v>
      </c>
      <c r="E111" s="257">
        <f>SUM(E99:E110)</f>
        <v>0</v>
      </c>
      <c r="F111" s="267">
        <f>(C95*C96*'III. INPUT-Baseline'!G48*0.68)*(E111)</f>
        <v>0</v>
      </c>
      <c r="G111" s="39"/>
    </row>
    <row r="112" spans="2:11" x14ac:dyDescent="0.3">
      <c r="B112" s="98"/>
      <c r="E112" s="11"/>
      <c r="F112" s="268"/>
      <c r="G112" s="39"/>
    </row>
    <row r="113" spans="2:11" ht="13.5" thickBot="1" x14ac:dyDescent="0.35">
      <c r="B113" s="98"/>
      <c r="E113" s="11"/>
      <c r="F113" s="268"/>
      <c r="G113" s="39"/>
    </row>
    <row r="114" spans="2:11" ht="13.5" thickBot="1" x14ac:dyDescent="0.35">
      <c r="B114" s="746">
        <f>'III. INPUT-Baseline'!B59</f>
        <v>0</v>
      </c>
      <c r="C114" s="747"/>
      <c r="D114" s="240"/>
      <c r="E114" s="240"/>
      <c r="F114" s="271"/>
      <c r="G114" s="241"/>
      <c r="H114" s="240"/>
      <c r="I114" s="240"/>
      <c r="J114" s="240"/>
      <c r="K114" s="240"/>
    </row>
    <row r="115" spans="2:11" ht="15" x14ac:dyDescent="0.4">
      <c r="B115" s="229" t="s">
        <v>502</v>
      </c>
      <c r="C115" s="230">
        <f>'VI. Baseline Non-Anaerobic CH4'!E21</f>
        <v>0</v>
      </c>
      <c r="D115" s="231"/>
      <c r="E115" s="231"/>
      <c r="F115" s="270"/>
      <c r="G115" s="233"/>
      <c r="H115" s="231"/>
      <c r="I115" s="231"/>
      <c r="J115" s="231"/>
      <c r="K115" s="231"/>
    </row>
    <row r="116" spans="2:11" ht="16.5" thickBot="1" x14ac:dyDescent="0.45">
      <c r="B116" s="234" t="s">
        <v>503</v>
      </c>
      <c r="C116" s="235">
        <f>'III. INPUT-Baseline'!C116</f>
        <v>0</v>
      </c>
      <c r="D116" s="231"/>
      <c r="E116" s="231"/>
      <c r="F116" s="270"/>
      <c r="G116" s="233"/>
      <c r="H116" s="231"/>
      <c r="I116" s="231"/>
      <c r="J116" s="231"/>
      <c r="K116" s="231"/>
    </row>
    <row r="117" spans="2:11" ht="13.5" thickBot="1" x14ac:dyDescent="0.35">
      <c r="B117" s="236"/>
      <c r="C117" s="237"/>
      <c r="D117" s="231"/>
      <c r="E117" s="231"/>
      <c r="F117" s="270"/>
      <c r="G117" s="233"/>
      <c r="H117" s="231"/>
      <c r="I117" s="231"/>
      <c r="J117" s="231"/>
      <c r="K117" s="231"/>
    </row>
    <row r="118" spans="2:11" s="4" customFormat="1" ht="28.5" thickBot="1" x14ac:dyDescent="0.45">
      <c r="B118" s="252" t="s">
        <v>509</v>
      </c>
      <c r="C118" s="166" t="s">
        <v>505</v>
      </c>
      <c r="D118" s="166" t="s">
        <v>506</v>
      </c>
      <c r="E118" s="253" t="s">
        <v>507</v>
      </c>
      <c r="F118" s="261" t="s">
        <v>508</v>
      </c>
      <c r="G118" s="60"/>
    </row>
    <row r="119" spans="2:11" ht="12.5" x14ac:dyDescent="0.25">
      <c r="B119" s="249">
        <f>'IV. INPUT-Project'!$B$123</f>
        <v>0</v>
      </c>
      <c r="C119" s="181">
        <f>'IV. INPUT-Project'!$C$123</f>
        <v>0</v>
      </c>
      <c r="D119" s="181">
        <f>'IV. INPUT-Project'!H140</f>
        <v>0</v>
      </c>
      <c r="E119" s="258">
        <f>C119*D119</f>
        <v>0</v>
      </c>
      <c r="F119" s="743"/>
      <c r="G119" s="39"/>
    </row>
    <row r="120" spans="2:11" ht="12.5" x14ac:dyDescent="0.25">
      <c r="B120" s="239">
        <f>'IV. INPUT-Project'!$B$124</f>
        <v>0</v>
      </c>
      <c r="C120" s="177">
        <f>'IV. INPUT-Project'!$C$124</f>
        <v>0</v>
      </c>
      <c r="D120" s="177">
        <f>'IV. INPUT-Project'!H141</f>
        <v>0</v>
      </c>
      <c r="E120" s="238">
        <f t="shared" ref="E120:E130" si="5">C120*D120</f>
        <v>0</v>
      </c>
      <c r="F120" s="744"/>
      <c r="G120" s="39"/>
    </row>
    <row r="121" spans="2:11" ht="12.5" x14ac:dyDescent="0.25">
      <c r="B121" s="239">
        <f>'IV. INPUT-Project'!$B$126</f>
        <v>0</v>
      </c>
      <c r="C121" s="177">
        <f>'IV. INPUT-Project'!$C$126</f>
        <v>0</v>
      </c>
      <c r="D121" s="177">
        <f>'IV. INPUT-Project'!H144</f>
        <v>0</v>
      </c>
      <c r="E121" s="238">
        <f t="shared" si="5"/>
        <v>0</v>
      </c>
      <c r="F121" s="744"/>
      <c r="G121" s="39"/>
    </row>
    <row r="122" spans="2:11" ht="12.5" x14ac:dyDescent="0.25">
      <c r="B122" s="239">
        <f>'IV. INPUT-Project'!$B$127</f>
        <v>0</v>
      </c>
      <c r="C122" s="177">
        <f>'IV. INPUT-Project'!$C$127</f>
        <v>0</v>
      </c>
      <c r="D122" s="177">
        <f>'IV. INPUT-Project'!H145</f>
        <v>0</v>
      </c>
      <c r="E122" s="238">
        <f t="shared" si="5"/>
        <v>0</v>
      </c>
      <c r="F122" s="744"/>
      <c r="G122" s="39"/>
    </row>
    <row r="123" spans="2:11" ht="12.5" x14ac:dyDescent="0.25">
      <c r="B123" s="239">
        <f>'IV. INPUT-Project'!$B$128</f>
        <v>0</v>
      </c>
      <c r="C123" s="177">
        <f>'IV. INPUT-Project'!$C$128</f>
        <v>0</v>
      </c>
      <c r="D123" s="177">
        <f>'IV. INPUT-Project'!H146</f>
        <v>0</v>
      </c>
      <c r="E123" s="238">
        <f t="shared" si="5"/>
        <v>0</v>
      </c>
      <c r="F123" s="744"/>
      <c r="G123" s="39"/>
    </row>
    <row r="124" spans="2:11" ht="12.5" x14ac:dyDescent="0.25">
      <c r="B124" s="239">
        <f>'IV. INPUT-Project'!$B$129</f>
        <v>0</v>
      </c>
      <c r="C124" s="177">
        <f>'IV. INPUT-Project'!$C$129</f>
        <v>0</v>
      </c>
      <c r="D124" s="177">
        <f>'IV. INPUT-Project'!H147</f>
        <v>0</v>
      </c>
      <c r="E124" s="238">
        <f t="shared" si="5"/>
        <v>0</v>
      </c>
      <c r="F124" s="744"/>
      <c r="G124" s="39"/>
    </row>
    <row r="125" spans="2:11" ht="12.5" x14ac:dyDescent="0.25">
      <c r="B125" s="239">
        <f>'IV. INPUT-Project'!$B$130</f>
        <v>0</v>
      </c>
      <c r="C125" s="177">
        <f>'IV. INPUT-Project'!$C$130</f>
        <v>0</v>
      </c>
      <c r="D125" s="177">
        <f>'IV. INPUT-Project'!H148</f>
        <v>0</v>
      </c>
      <c r="E125" s="238">
        <f t="shared" si="5"/>
        <v>0</v>
      </c>
      <c r="F125" s="744"/>
      <c r="G125" s="39"/>
    </row>
    <row r="126" spans="2:11" ht="12.5" x14ac:dyDescent="0.25">
      <c r="B126" s="239">
        <f>'IV. INPUT-Project'!$B$131</f>
        <v>0</v>
      </c>
      <c r="C126" s="177">
        <f>'IV. INPUT-Project'!$C$131</f>
        <v>0</v>
      </c>
      <c r="D126" s="177">
        <f>'IV. INPUT-Project'!H149</f>
        <v>0</v>
      </c>
      <c r="E126" s="238">
        <f t="shared" si="5"/>
        <v>0</v>
      </c>
      <c r="F126" s="744"/>
      <c r="G126" s="39"/>
    </row>
    <row r="127" spans="2:11" ht="12.5" x14ac:dyDescent="0.25">
      <c r="B127" s="239">
        <f>'IV. INPUT-Project'!$B$132</f>
        <v>0</v>
      </c>
      <c r="C127" s="177">
        <f>'IV. INPUT-Project'!$C$132</f>
        <v>0</v>
      </c>
      <c r="D127" s="177">
        <f>'IV. INPUT-Project'!H150</f>
        <v>0</v>
      </c>
      <c r="E127" s="238">
        <f t="shared" si="5"/>
        <v>0</v>
      </c>
      <c r="F127" s="744"/>
      <c r="G127" s="39"/>
    </row>
    <row r="128" spans="2:11" ht="12.5" x14ac:dyDescent="0.25">
      <c r="B128" s="239">
        <f>'IV. INPUT-Project'!$B$133</f>
        <v>0</v>
      </c>
      <c r="C128" s="177">
        <f>'IV. INPUT-Project'!$C$133</f>
        <v>0</v>
      </c>
      <c r="D128" s="177">
        <f>'IV. INPUT-Project'!H151</f>
        <v>0</v>
      </c>
      <c r="E128" s="238">
        <f t="shared" si="5"/>
        <v>0</v>
      </c>
      <c r="F128" s="744"/>
      <c r="G128" s="39"/>
    </row>
    <row r="129" spans="2:11" ht="12.5" x14ac:dyDescent="0.25">
      <c r="B129" s="239">
        <f>'IV. INPUT-Project'!$B$134</f>
        <v>0</v>
      </c>
      <c r="C129" s="177">
        <f>'IV. INPUT-Project'!$C$134</f>
        <v>0</v>
      </c>
      <c r="D129" s="177">
        <f>'IV. INPUT-Project'!H152</f>
        <v>0</v>
      </c>
      <c r="E129" s="238">
        <f t="shared" si="5"/>
        <v>0</v>
      </c>
      <c r="F129" s="744"/>
      <c r="G129" s="39"/>
    </row>
    <row r="130" spans="2:11" thickBot="1" x14ac:dyDescent="0.3">
      <c r="B130" s="251">
        <f>'IV. INPUT-Project'!$B$135</f>
        <v>0</v>
      </c>
      <c r="C130" s="182">
        <f>'IV. INPUT-Project'!$C$135</f>
        <v>0</v>
      </c>
      <c r="D130" s="182">
        <f>'IV. INPUT-Project'!H153</f>
        <v>0</v>
      </c>
      <c r="E130" s="257">
        <f t="shared" si="5"/>
        <v>0</v>
      </c>
      <c r="F130" s="745"/>
      <c r="G130" s="39"/>
    </row>
    <row r="131" spans="2:11" ht="13.5" thickBot="1" x14ac:dyDescent="0.35">
      <c r="B131" s="254" t="s">
        <v>449</v>
      </c>
      <c r="C131" s="255">
        <f>SUM(C119:C130)</f>
        <v>0</v>
      </c>
      <c r="D131" s="256">
        <f>SUM(D119:D130)</f>
        <v>0</v>
      </c>
      <c r="E131" s="257">
        <f>SUM(E119:E130)</f>
        <v>0</v>
      </c>
      <c r="F131" s="267">
        <f>(C115*C116*'III. INPUT-Baseline'!G48*0.68)*(E131)</f>
        <v>0</v>
      </c>
      <c r="G131" s="39"/>
    </row>
    <row r="132" spans="2:11" x14ac:dyDescent="0.3">
      <c r="B132" s="98"/>
      <c r="E132" s="11"/>
      <c r="F132" s="268"/>
      <c r="G132" s="39"/>
    </row>
    <row r="133" spans="2:11" ht="13.5" thickBot="1" x14ac:dyDescent="0.35">
      <c r="B133" s="98"/>
      <c r="E133" s="11"/>
      <c r="F133" s="268"/>
      <c r="G133" s="39"/>
    </row>
    <row r="134" spans="2:11" ht="13.5" thickBot="1" x14ac:dyDescent="0.35">
      <c r="B134" s="746">
        <f>'III. INPUT-Baseline'!B60</f>
        <v>0</v>
      </c>
      <c r="C134" s="747"/>
      <c r="D134" s="240"/>
      <c r="E134" s="240"/>
      <c r="F134" s="271"/>
      <c r="G134" s="241"/>
      <c r="H134" s="240"/>
      <c r="I134" s="240"/>
      <c r="J134" s="240"/>
      <c r="K134" s="240"/>
    </row>
    <row r="135" spans="2:11" ht="15" x14ac:dyDescent="0.4">
      <c r="B135" s="229" t="s">
        <v>502</v>
      </c>
      <c r="C135" s="230">
        <f>'VI. Baseline Non-Anaerobic CH4'!E22</f>
        <v>0</v>
      </c>
      <c r="D135" s="231"/>
      <c r="E135" s="231"/>
      <c r="F135" s="270"/>
      <c r="G135" s="233"/>
      <c r="H135" s="231"/>
      <c r="I135" s="231"/>
      <c r="J135" s="231"/>
      <c r="K135" s="231"/>
    </row>
    <row r="136" spans="2:11" ht="16.5" thickBot="1" x14ac:dyDescent="0.45">
      <c r="B136" s="234" t="s">
        <v>503</v>
      </c>
      <c r="C136" s="235">
        <f>'III. INPUT-Baseline'!C117</f>
        <v>0</v>
      </c>
      <c r="D136" s="231"/>
      <c r="E136" s="231"/>
      <c r="F136" s="270"/>
      <c r="G136" s="233"/>
      <c r="H136" s="231"/>
      <c r="I136" s="231"/>
      <c r="J136" s="231"/>
      <c r="K136" s="231"/>
    </row>
    <row r="137" spans="2:11" ht="13.5" thickBot="1" x14ac:dyDescent="0.35">
      <c r="B137" s="236"/>
      <c r="C137" s="243"/>
      <c r="D137" s="231"/>
      <c r="E137" s="231"/>
      <c r="F137" s="270"/>
      <c r="G137" s="233"/>
      <c r="H137" s="231"/>
      <c r="I137" s="231"/>
      <c r="J137" s="231"/>
      <c r="K137" s="231"/>
    </row>
    <row r="138" spans="2:11" s="4" customFormat="1" ht="28.5" thickBot="1" x14ac:dyDescent="0.45">
      <c r="B138" s="252" t="s">
        <v>509</v>
      </c>
      <c r="C138" s="166" t="s">
        <v>505</v>
      </c>
      <c r="D138" s="166" t="s">
        <v>506</v>
      </c>
      <c r="E138" s="253" t="s">
        <v>507</v>
      </c>
      <c r="F138" s="261" t="s">
        <v>508</v>
      </c>
      <c r="G138" s="60"/>
    </row>
    <row r="139" spans="2:11" ht="12.5" x14ac:dyDescent="0.25">
      <c r="B139" s="249">
        <f>'IV. INPUT-Project'!$B$123</f>
        <v>0</v>
      </c>
      <c r="C139" s="181">
        <f>'IV. INPUT-Project'!$C$123</f>
        <v>0</v>
      </c>
      <c r="D139" s="181">
        <f>'IV. INPUT-Project'!I140</f>
        <v>0</v>
      </c>
      <c r="E139" s="258">
        <f>C139*D139</f>
        <v>0</v>
      </c>
      <c r="F139" s="743"/>
      <c r="G139" s="39"/>
    </row>
    <row r="140" spans="2:11" ht="12.5" x14ac:dyDescent="0.25">
      <c r="B140" s="239">
        <f>'IV. INPUT-Project'!$B$124</f>
        <v>0</v>
      </c>
      <c r="C140" s="177">
        <f>'IV. INPUT-Project'!$C$124</f>
        <v>0</v>
      </c>
      <c r="D140" s="177">
        <f>'IV. INPUT-Project'!I141</f>
        <v>0</v>
      </c>
      <c r="E140" s="238">
        <f t="shared" ref="E140:E150" si="6">C140*D140</f>
        <v>0</v>
      </c>
      <c r="F140" s="744"/>
      <c r="G140" s="39"/>
    </row>
    <row r="141" spans="2:11" ht="12.5" x14ac:dyDescent="0.25">
      <c r="B141" s="239">
        <f>'IV. INPUT-Project'!$B$126</f>
        <v>0</v>
      </c>
      <c r="C141" s="177">
        <f>'IV. INPUT-Project'!$C$126</f>
        <v>0</v>
      </c>
      <c r="D141" s="177">
        <f>'IV. INPUT-Project'!I144</f>
        <v>0</v>
      </c>
      <c r="E141" s="238">
        <f t="shared" si="6"/>
        <v>0</v>
      </c>
      <c r="F141" s="744"/>
      <c r="G141" s="39"/>
    </row>
    <row r="142" spans="2:11" ht="12.5" x14ac:dyDescent="0.25">
      <c r="B142" s="239">
        <f>'IV. INPUT-Project'!$B$127</f>
        <v>0</v>
      </c>
      <c r="C142" s="177">
        <f>'IV. INPUT-Project'!$C$127</f>
        <v>0</v>
      </c>
      <c r="D142" s="177">
        <f>'IV. INPUT-Project'!I145</f>
        <v>0</v>
      </c>
      <c r="E142" s="238">
        <f t="shared" si="6"/>
        <v>0</v>
      </c>
      <c r="F142" s="744"/>
      <c r="G142" s="39"/>
    </row>
    <row r="143" spans="2:11" ht="12.5" x14ac:dyDescent="0.25">
      <c r="B143" s="239">
        <f>'IV. INPUT-Project'!$B$128</f>
        <v>0</v>
      </c>
      <c r="C143" s="177">
        <f>'IV. INPUT-Project'!$C$128</f>
        <v>0</v>
      </c>
      <c r="D143" s="177">
        <f>'IV. INPUT-Project'!I146</f>
        <v>0</v>
      </c>
      <c r="E143" s="238">
        <f t="shared" si="6"/>
        <v>0</v>
      </c>
      <c r="F143" s="744"/>
      <c r="G143" s="39"/>
    </row>
    <row r="144" spans="2:11" ht="12.5" x14ac:dyDescent="0.25">
      <c r="B144" s="239">
        <f>'IV. INPUT-Project'!$B$129</f>
        <v>0</v>
      </c>
      <c r="C144" s="177">
        <f>'IV. INPUT-Project'!$C$129</f>
        <v>0</v>
      </c>
      <c r="D144" s="177">
        <f>'IV. INPUT-Project'!I147</f>
        <v>0</v>
      </c>
      <c r="E144" s="238">
        <f t="shared" si="6"/>
        <v>0</v>
      </c>
      <c r="F144" s="744"/>
      <c r="G144" s="39"/>
    </row>
    <row r="145" spans="2:11" ht="12.5" x14ac:dyDescent="0.25">
      <c r="B145" s="239">
        <f>'IV. INPUT-Project'!$B$130</f>
        <v>0</v>
      </c>
      <c r="C145" s="177">
        <f>'IV. INPUT-Project'!$C$130</f>
        <v>0</v>
      </c>
      <c r="D145" s="177">
        <f>'IV. INPUT-Project'!I148</f>
        <v>0</v>
      </c>
      <c r="E145" s="238">
        <f t="shared" si="6"/>
        <v>0</v>
      </c>
      <c r="F145" s="744"/>
      <c r="G145" s="39"/>
    </row>
    <row r="146" spans="2:11" ht="12.5" x14ac:dyDescent="0.25">
      <c r="B146" s="239">
        <f>'IV. INPUT-Project'!$B$131</f>
        <v>0</v>
      </c>
      <c r="C146" s="177">
        <f>'IV. INPUT-Project'!$C$131</f>
        <v>0</v>
      </c>
      <c r="D146" s="177">
        <f>'IV. INPUT-Project'!I149</f>
        <v>0</v>
      </c>
      <c r="E146" s="238">
        <f t="shared" si="6"/>
        <v>0</v>
      </c>
      <c r="F146" s="744"/>
      <c r="G146" s="39"/>
    </row>
    <row r="147" spans="2:11" ht="12.5" x14ac:dyDescent="0.25">
      <c r="B147" s="239">
        <f>'IV. INPUT-Project'!$B$132</f>
        <v>0</v>
      </c>
      <c r="C147" s="177">
        <f>'IV. INPUT-Project'!$C$132</f>
        <v>0</v>
      </c>
      <c r="D147" s="177">
        <f>'IV. INPUT-Project'!I150</f>
        <v>0</v>
      </c>
      <c r="E147" s="238">
        <f t="shared" si="6"/>
        <v>0</v>
      </c>
      <c r="F147" s="744"/>
      <c r="G147" s="39"/>
    </row>
    <row r="148" spans="2:11" ht="12.5" x14ac:dyDescent="0.25">
      <c r="B148" s="239">
        <f>'IV. INPUT-Project'!$B$133</f>
        <v>0</v>
      </c>
      <c r="C148" s="177">
        <f>'IV. INPUT-Project'!$C$133</f>
        <v>0</v>
      </c>
      <c r="D148" s="177">
        <f>'IV. INPUT-Project'!I151</f>
        <v>0</v>
      </c>
      <c r="E148" s="238">
        <f t="shared" si="6"/>
        <v>0</v>
      </c>
      <c r="F148" s="744"/>
      <c r="G148" s="39"/>
    </row>
    <row r="149" spans="2:11" ht="12.5" x14ac:dyDescent="0.25">
      <c r="B149" s="239">
        <f>'IV. INPUT-Project'!$B$134</f>
        <v>0</v>
      </c>
      <c r="C149" s="177">
        <f>'IV. INPUT-Project'!$C$134</f>
        <v>0</v>
      </c>
      <c r="D149" s="177">
        <f>'IV. INPUT-Project'!I152</f>
        <v>0</v>
      </c>
      <c r="E149" s="238">
        <f t="shared" si="6"/>
        <v>0</v>
      </c>
      <c r="F149" s="744"/>
      <c r="G149" s="39"/>
    </row>
    <row r="150" spans="2:11" thickBot="1" x14ac:dyDescent="0.3">
      <c r="B150" s="251">
        <f>'IV. INPUT-Project'!$B$135</f>
        <v>0</v>
      </c>
      <c r="C150" s="182">
        <f>'IV. INPUT-Project'!$C$135</f>
        <v>0</v>
      </c>
      <c r="D150" s="182">
        <f>'IV. INPUT-Project'!I153</f>
        <v>0</v>
      </c>
      <c r="E150" s="257">
        <f t="shared" si="6"/>
        <v>0</v>
      </c>
      <c r="F150" s="745"/>
      <c r="G150" s="39"/>
    </row>
    <row r="151" spans="2:11" ht="13.5" thickBot="1" x14ac:dyDescent="0.35">
      <c r="B151" s="254" t="s">
        <v>449</v>
      </c>
      <c r="C151" s="255">
        <f>SUM(C139:C150)</f>
        <v>0</v>
      </c>
      <c r="D151" s="256">
        <f>SUM(D139:D150)</f>
        <v>0</v>
      </c>
      <c r="E151" s="257">
        <f>SUM(E139:E150)</f>
        <v>0</v>
      </c>
      <c r="F151" s="267">
        <f>(C135*C136*'III. INPUT-Baseline'!G48*0.68)*(E151)</f>
        <v>0</v>
      </c>
      <c r="G151" s="39"/>
    </row>
    <row r="152" spans="2:11" x14ac:dyDescent="0.3">
      <c r="B152" s="98"/>
      <c r="C152" s="3"/>
      <c r="D152" s="3"/>
      <c r="E152" s="3"/>
      <c r="F152" s="268"/>
      <c r="G152" s="39"/>
    </row>
    <row r="153" spans="2:11" ht="13.5" thickBot="1" x14ac:dyDescent="0.35">
      <c r="B153" s="98"/>
      <c r="E153" s="11"/>
      <c r="F153" s="268"/>
      <c r="G153" s="39"/>
    </row>
    <row r="154" spans="2:11" s="24" customFormat="1" ht="13.5" thickBot="1" x14ac:dyDescent="0.35">
      <c r="B154" s="746">
        <f>'III. INPUT-Baseline'!B61</f>
        <v>0</v>
      </c>
      <c r="C154" s="747"/>
      <c r="D154" s="240"/>
      <c r="E154" s="240"/>
      <c r="F154" s="271"/>
      <c r="G154" s="241"/>
      <c r="H154" s="240"/>
      <c r="I154" s="240"/>
      <c r="J154" s="240"/>
      <c r="K154" s="240"/>
    </row>
    <row r="155" spans="2:11" ht="15" x14ac:dyDescent="0.4">
      <c r="B155" s="229" t="s">
        <v>502</v>
      </c>
      <c r="C155" s="230">
        <f>'VI. Baseline Non-Anaerobic CH4'!E23</f>
        <v>0</v>
      </c>
      <c r="D155" s="231"/>
      <c r="E155" s="231"/>
      <c r="F155" s="270"/>
      <c r="G155" s="233"/>
      <c r="H155" s="231"/>
      <c r="I155" s="231"/>
      <c r="J155" s="231"/>
      <c r="K155" s="231"/>
    </row>
    <row r="156" spans="2:11" ht="16.5" thickBot="1" x14ac:dyDescent="0.45">
      <c r="B156" s="234" t="s">
        <v>503</v>
      </c>
      <c r="C156" s="235">
        <f>'III. INPUT-Baseline'!C118</f>
        <v>0</v>
      </c>
      <c r="D156" s="231"/>
      <c r="E156" s="231"/>
      <c r="F156" s="270"/>
      <c r="G156" s="233"/>
      <c r="H156" s="231"/>
      <c r="I156" s="231"/>
      <c r="J156" s="231"/>
      <c r="K156" s="231"/>
    </row>
    <row r="157" spans="2:11" ht="13.5" thickBot="1" x14ac:dyDescent="0.35">
      <c r="B157" s="236"/>
      <c r="C157" s="243"/>
      <c r="D157" s="231"/>
      <c r="E157" s="231"/>
      <c r="F157" s="270"/>
      <c r="G157" s="233"/>
      <c r="H157" s="231"/>
      <c r="I157" s="231"/>
      <c r="J157" s="231"/>
      <c r="K157" s="231"/>
    </row>
    <row r="158" spans="2:11" s="4" customFormat="1" ht="28.5" thickBot="1" x14ac:dyDescent="0.45">
      <c r="B158" s="252" t="s">
        <v>509</v>
      </c>
      <c r="C158" s="166" t="s">
        <v>505</v>
      </c>
      <c r="D158" s="166" t="s">
        <v>506</v>
      </c>
      <c r="E158" s="253" t="s">
        <v>507</v>
      </c>
      <c r="F158" s="261" t="s">
        <v>508</v>
      </c>
      <c r="G158" s="60"/>
    </row>
    <row r="159" spans="2:11" ht="12.5" x14ac:dyDescent="0.25">
      <c r="B159" s="249">
        <f>'IV. INPUT-Project'!$B$123</f>
        <v>0</v>
      </c>
      <c r="C159" s="181">
        <f>'IV. INPUT-Project'!$C$123</f>
        <v>0</v>
      </c>
      <c r="D159" s="181">
        <f>'IV. INPUT-Project'!J140</f>
        <v>0</v>
      </c>
      <c r="E159" s="258">
        <f>C159*D159</f>
        <v>0</v>
      </c>
      <c r="F159" s="743"/>
      <c r="G159" s="39"/>
    </row>
    <row r="160" spans="2:11" ht="12.5" x14ac:dyDescent="0.25">
      <c r="B160" s="239">
        <f>'IV. INPUT-Project'!$B$124</f>
        <v>0</v>
      </c>
      <c r="C160" s="177">
        <f>'IV. INPUT-Project'!$C$124</f>
        <v>0</v>
      </c>
      <c r="D160" s="177">
        <f>'IV. INPUT-Project'!J141</f>
        <v>0</v>
      </c>
      <c r="E160" s="238">
        <f t="shared" ref="E160:E170" si="7">C160*D160</f>
        <v>0</v>
      </c>
      <c r="F160" s="744"/>
      <c r="G160" s="39"/>
    </row>
    <row r="161" spans="2:11" ht="12.5" x14ac:dyDescent="0.25">
      <c r="B161" s="239">
        <f>'IV. INPUT-Project'!$B$126</f>
        <v>0</v>
      </c>
      <c r="C161" s="177">
        <f>'IV. INPUT-Project'!$C$126</f>
        <v>0</v>
      </c>
      <c r="D161" s="177">
        <f>'IV. INPUT-Project'!J144</f>
        <v>0</v>
      </c>
      <c r="E161" s="238">
        <f t="shared" si="7"/>
        <v>0</v>
      </c>
      <c r="F161" s="744"/>
      <c r="G161" s="39"/>
    </row>
    <row r="162" spans="2:11" ht="12.5" x14ac:dyDescent="0.25">
      <c r="B162" s="239">
        <f>'IV. INPUT-Project'!$B$127</f>
        <v>0</v>
      </c>
      <c r="C162" s="177">
        <f>'IV. INPUT-Project'!$C$127</f>
        <v>0</v>
      </c>
      <c r="D162" s="177">
        <f>'IV. INPUT-Project'!J145</f>
        <v>0</v>
      </c>
      <c r="E162" s="238">
        <f t="shared" si="7"/>
        <v>0</v>
      </c>
      <c r="F162" s="744"/>
      <c r="G162" s="39"/>
    </row>
    <row r="163" spans="2:11" ht="12.5" x14ac:dyDescent="0.25">
      <c r="B163" s="239">
        <f>'IV. INPUT-Project'!$B$128</f>
        <v>0</v>
      </c>
      <c r="C163" s="177">
        <f>'IV. INPUT-Project'!$C$128</f>
        <v>0</v>
      </c>
      <c r="D163" s="177">
        <f>'IV. INPUT-Project'!J146</f>
        <v>0</v>
      </c>
      <c r="E163" s="238">
        <f t="shared" si="7"/>
        <v>0</v>
      </c>
      <c r="F163" s="744"/>
      <c r="G163" s="39"/>
    </row>
    <row r="164" spans="2:11" ht="12.5" x14ac:dyDescent="0.25">
      <c r="B164" s="239">
        <f>'IV. INPUT-Project'!$B$129</f>
        <v>0</v>
      </c>
      <c r="C164" s="177">
        <f>'IV. INPUT-Project'!$C$129</f>
        <v>0</v>
      </c>
      <c r="D164" s="177">
        <f>'IV. INPUT-Project'!J147</f>
        <v>0</v>
      </c>
      <c r="E164" s="238">
        <f t="shared" si="7"/>
        <v>0</v>
      </c>
      <c r="F164" s="744"/>
      <c r="G164" s="39"/>
    </row>
    <row r="165" spans="2:11" ht="12.5" x14ac:dyDescent="0.25">
      <c r="B165" s="239">
        <f>'IV. INPUT-Project'!$B$130</f>
        <v>0</v>
      </c>
      <c r="C165" s="177">
        <f>'IV. INPUT-Project'!$C$130</f>
        <v>0</v>
      </c>
      <c r="D165" s="177">
        <f>'IV. INPUT-Project'!J148</f>
        <v>0</v>
      </c>
      <c r="E165" s="238">
        <f t="shared" si="7"/>
        <v>0</v>
      </c>
      <c r="F165" s="744"/>
      <c r="G165" s="39"/>
    </row>
    <row r="166" spans="2:11" ht="12.5" x14ac:dyDescent="0.25">
      <c r="B166" s="239">
        <f>'IV. INPUT-Project'!$B$131</f>
        <v>0</v>
      </c>
      <c r="C166" s="177">
        <f>'IV. INPUT-Project'!$C$131</f>
        <v>0</v>
      </c>
      <c r="D166" s="177">
        <f>'IV. INPUT-Project'!J149</f>
        <v>0</v>
      </c>
      <c r="E166" s="238">
        <f t="shared" si="7"/>
        <v>0</v>
      </c>
      <c r="F166" s="744"/>
      <c r="G166" s="39"/>
    </row>
    <row r="167" spans="2:11" ht="12.5" x14ac:dyDescent="0.25">
      <c r="B167" s="239">
        <f>'IV. INPUT-Project'!$B$132</f>
        <v>0</v>
      </c>
      <c r="C167" s="177">
        <f>'IV. INPUT-Project'!$C$132</f>
        <v>0</v>
      </c>
      <c r="D167" s="177">
        <f>'IV. INPUT-Project'!J150</f>
        <v>0</v>
      </c>
      <c r="E167" s="238">
        <f t="shared" si="7"/>
        <v>0</v>
      </c>
      <c r="F167" s="744"/>
      <c r="G167" s="39"/>
    </row>
    <row r="168" spans="2:11" ht="12.5" x14ac:dyDescent="0.25">
      <c r="B168" s="239">
        <f>'IV. INPUT-Project'!$B$133</f>
        <v>0</v>
      </c>
      <c r="C168" s="177">
        <f>'IV. INPUT-Project'!$C$133</f>
        <v>0</v>
      </c>
      <c r="D168" s="177">
        <f>'IV. INPUT-Project'!J151</f>
        <v>0</v>
      </c>
      <c r="E168" s="238">
        <f t="shared" si="7"/>
        <v>0</v>
      </c>
      <c r="F168" s="744"/>
      <c r="G168" s="39"/>
    </row>
    <row r="169" spans="2:11" ht="12.5" x14ac:dyDescent="0.25">
      <c r="B169" s="239">
        <f>'IV. INPUT-Project'!$B$134</f>
        <v>0</v>
      </c>
      <c r="C169" s="177">
        <f>'IV. INPUT-Project'!$C$134</f>
        <v>0</v>
      </c>
      <c r="D169" s="177">
        <f>'IV. INPUT-Project'!J152</f>
        <v>0</v>
      </c>
      <c r="E169" s="238">
        <f t="shared" si="7"/>
        <v>0</v>
      </c>
      <c r="F169" s="744"/>
      <c r="G169" s="39"/>
    </row>
    <row r="170" spans="2:11" thickBot="1" x14ac:dyDescent="0.3">
      <c r="B170" s="251">
        <f>'IV. INPUT-Project'!$B$135</f>
        <v>0</v>
      </c>
      <c r="C170" s="182">
        <f>'IV. INPUT-Project'!$C$135</f>
        <v>0</v>
      </c>
      <c r="D170" s="182">
        <f>'IV. INPUT-Project'!J153</f>
        <v>0</v>
      </c>
      <c r="E170" s="257">
        <f t="shared" si="7"/>
        <v>0</v>
      </c>
      <c r="F170" s="745"/>
      <c r="G170" s="39"/>
    </row>
    <row r="171" spans="2:11" ht="13.5" thickBot="1" x14ac:dyDescent="0.35">
      <c r="B171" s="254" t="s">
        <v>449</v>
      </c>
      <c r="C171" s="255">
        <f>SUM(C159:C170)</f>
        <v>0</v>
      </c>
      <c r="D171" s="256">
        <f>SUM(D159:D170)</f>
        <v>0</v>
      </c>
      <c r="E171" s="257">
        <f>SUM(E159:E170)</f>
        <v>0</v>
      </c>
      <c r="F171" s="267">
        <f>(C155*C156*'III. INPUT-Baseline'!G48*0.68)*(E171)</f>
        <v>0</v>
      </c>
      <c r="G171" s="39"/>
    </row>
    <row r="172" spans="2:11" x14ac:dyDescent="0.3">
      <c r="B172" s="98"/>
      <c r="E172" s="11"/>
      <c r="F172" s="268"/>
      <c r="G172" s="39"/>
    </row>
    <row r="173" spans="2:11" ht="13.5" thickBot="1" x14ac:dyDescent="0.35">
      <c r="B173" s="98"/>
      <c r="E173" s="11"/>
      <c r="F173" s="268"/>
      <c r="G173" s="39"/>
    </row>
    <row r="174" spans="2:11" ht="13.5" thickBot="1" x14ac:dyDescent="0.35">
      <c r="B174" s="746">
        <f>'III. INPUT-Baseline'!B62</f>
        <v>0</v>
      </c>
      <c r="C174" s="747"/>
      <c r="D174" s="240"/>
      <c r="E174" s="240"/>
      <c r="F174" s="271"/>
      <c r="G174" s="241"/>
      <c r="H174" s="240"/>
      <c r="I174" s="240"/>
      <c r="J174" s="240"/>
      <c r="K174" s="240"/>
    </row>
    <row r="175" spans="2:11" ht="15" x14ac:dyDescent="0.4">
      <c r="B175" s="229" t="s">
        <v>502</v>
      </c>
      <c r="C175" s="230">
        <f>'VI. Baseline Non-Anaerobic CH4'!E24</f>
        <v>0</v>
      </c>
      <c r="D175" s="231"/>
      <c r="E175" s="231"/>
      <c r="F175" s="270"/>
      <c r="G175" s="233"/>
      <c r="H175" s="231"/>
      <c r="I175" s="231"/>
      <c r="J175" s="231"/>
      <c r="K175" s="231"/>
    </row>
    <row r="176" spans="2:11" ht="16.5" thickBot="1" x14ac:dyDescent="0.45">
      <c r="B176" s="234" t="s">
        <v>503</v>
      </c>
      <c r="C176" s="235">
        <f>'III. INPUT-Baseline'!C119</f>
        <v>0</v>
      </c>
      <c r="D176" s="231"/>
      <c r="E176" s="231"/>
      <c r="F176" s="270"/>
      <c r="G176" s="233"/>
      <c r="H176" s="231"/>
      <c r="I176" s="231"/>
      <c r="J176" s="231"/>
      <c r="K176" s="231"/>
    </row>
    <row r="177" spans="2:11" ht="13.5" thickBot="1" x14ac:dyDescent="0.35">
      <c r="B177" s="236"/>
      <c r="C177" s="243"/>
      <c r="D177" s="231"/>
      <c r="E177" s="231"/>
      <c r="F177" s="270"/>
      <c r="G177" s="233"/>
      <c r="H177" s="231"/>
      <c r="I177" s="231"/>
      <c r="J177" s="231"/>
      <c r="K177" s="231"/>
    </row>
    <row r="178" spans="2:11" s="4" customFormat="1" ht="28.5" thickBot="1" x14ac:dyDescent="0.45">
      <c r="B178" s="252" t="s">
        <v>509</v>
      </c>
      <c r="C178" s="166" t="s">
        <v>505</v>
      </c>
      <c r="D178" s="166" t="s">
        <v>506</v>
      </c>
      <c r="E178" s="253" t="s">
        <v>507</v>
      </c>
      <c r="F178" s="261" t="s">
        <v>508</v>
      </c>
      <c r="G178" s="60"/>
    </row>
    <row r="179" spans="2:11" ht="12.5" x14ac:dyDescent="0.25">
      <c r="B179" s="249">
        <f>'IV. INPUT-Project'!$B$123</f>
        <v>0</v>
      </c>
      <c r="C179" s="181">
        <f>'IV. INPUT-Project'!$C$123</f>
        <v>0</v>
      </c>
      <c r="D179" s="181">
        <f>'IV. INPUT-Project'!K140</f>
        <v>0</v>
      </c>
      <c r="E179" s="258">
        <f>C179*D179</f>
        <v>0</v>
      </c>
      <c r="F179" s="743"/>
      <c r="G179" s="39"/>
    </row>
    <row r="180" spans="2:11" ht="12.5" x14ac:dyDescent="0.25">
      <c r="B180" s="239">
        <f>'IV. INPUT-Project'!$B$124</f>
        <v>0</v>
      </c>
      <c r="C180" s="177">
        <f>'IV. INPUT-Project'!$C$124</f>
        <v>0</v>
      </c>
      <c r="D180" s="177">
        <f>'IV. INPUT-Project'!K141</f>
        <v>0</v>
      </c>
      <c r="E180" s="238">
        <f t="shared" ref="E180:E190" si="8">C180*D180</f>
        <v>0</v>
      </c>
      <c r="F180" s="744"/>
      <c r="G180" s="39"/>
    </row>
    <row r="181" spans="2:11" ht="12.5" x14ac:dyDescent="0.25">
      <c r="B181" s="239">
        <f>'IV. INPUT-Project'!$B$126</f>
        <v>0</v>
      </c>
      <c r="C181" s="177">
        <f>'IV. INPUT-Project'!$C$126</f>
        <v>0</v>
      </c>
      <c r="D181" s="177">
        <f>'IV. INPUT-Project'!K144</f>
        <v>0</v>
      </c>
      <c r="E181" s="238">
        <f t="shared" si="8"/>
        <v>0</v>
      </c>
      <c r="F181" s="744"/>
      <c r="G181" s="39"/>
    </row>
    <row r="182" spans="2:11" ht="12.5" x14ac:dyDescent="0.25">
      <c r="B182" s="239">
        <f>'IV. INPUT-Project'!$B$127</f>
        <v>0</v>
      </c>
      <c r="C182" s="177">
        <f>'IV. INPUT-Project'!$C$127</f>
        <v>0</v>
      </c>
      <c r="D182" s="177">
        <f>'IV. INPUT-Project'!K145</f>
        <v>0</v>
      </c>
      <c r="E182" s="238">
        <f t="shared" si="8"/>
        <v>0</v>
      </c>
      <c r="F182" s="744"/>
      <c r="G182" s="39"/>
    </row>
    <row r="183" spans="2:11" ht="12.5" x14ac:dyDescent="0.25">
      <c r="B183" s="239">
        <f>'IV. INPUT-Project'!$B$128</f>
        <v>0</v>
      </c>
      <c r="C183" s="177">
        <f>'IV. INPUT-Project'!$C$128</f>
        <v>0</v>
      </c>
      <c r="D183" s="177">
        <f>'IV. INPUT-Project'!K146</f>
        <v>0</v>
      </c>
      <c r="E183" s="238">
        <f t="shared" si="8"/>
        <v>0</v>
      </c>
      <c r="F183" s="744"/>
      <c r="G183" s="39"/>
    </row>
    <row r="184" spans="2:11" ht="12.5" x14ac:dyDescent="0.25">
      <c r="B184" s="239">
        <f>'IV. INPUT-Project'!$B$129</f>
        <v>0</v>
      </c>
      <c r="C184" s="177">
        <f>'IV. INPUT-Project'!$C$129</f>
        <v>0</v>
      </c>
      <c r="D184" s="177">
        <f>'IV. INPUT-Project'!K147</f>
        <v>0</v>
      </c>
      <c r="E184" s="238">
        <f t="shared" si="8"/>
        <v>0</v>
      </c>
      <c r="F184" s="744"/>
      <c r="G184" s="39"/>
    </row>
    <row r="185" spans="2:11" ht="12.5" x14ac:dyDescent="0.25">
      <c r="B185" s="239">
        <f>'IV. INPUT-Project'!$B$130</f>
        <v>0</v>
      </c>
      <c r="C185" s="177">
        <f>'IV. INPUT-Project'!$C$130</f>
        <v>0</v>
      </c>
      <c r="D185" s="177">
        <f>'IV. INPUT-Project'!K148</f>
        <v>0</v>
      </c>
      <c r="E185" s="238">
        <f t="shared" si="8"/>
        <v>0</v>
      </c>
      <c r="F185" s="744"/>
      <c r="G185" s="39"/>
    </row>
    <row r="186" spans="2:11" ht="12.5" x14ac:dyDescent="0.25">
      <c r="B186" s="239">
        <f>'IV. INPUT-Project'!$B$131</f>
        <v>0</v>
      </c>
      <c r="C186" s="177">
        <f>'IV. INPUT-Project'!$C$131</f>
        <v>0</v>
      </c>
      <c r="D186" s="177">
        <f>'IV. INPUT-Project'!K149</f>
        <v>0</v>
      </c>
      <c r="E186" s="238">
        <f t="shared" si="8"/>
        <v>0</v>
      </c>
      <c r="F186" s="744"/>
      <c r="G186" s="39"/>
    </row>
    <row r="187" spans="2:11" ht="12.5" x14ac:dyDescent="0.25">
      <c r="B187" s="239">
        <f>'IV. INPUT-Project'!$B$132</f>
        <v>0</v>
      </c>
      <c r="C187" s="177">
        <f>'IV. INPUT-Project'!$C$132</f>
        <v>0</v>
      </c>
      <c r="D187" s="177">
        <f>'IV. INPUT-Project'!K150</f>
        <v>0</v>
      </c>
      <c r="E187" s="238">
        <f t="shared" si="8"/>
        <v>0</v>
      </c>
      <c r="F187" s="744"/>
      <c r="G187" s="39"/>
    </row>
    <row r="188" spans="2:11" ht="12.5" x14ac:dyDescent="0.25">
      <c r="B188" s="239">
        <f>'IV. INPUT-Project'!$B$133</f>
        <v>0</v>
      </c>
      <c r="C188" s="177">
        <f>'IV. INPUT-Project'!$C$133</f>
        <v>0</v>
      </c>
      <c r="D188" s="177">
        <f>'IV. INPUT-Project'!K151</f>
        <v>0</v>
      </c>
      <c r="E188" s="238">
        <f t="shared" si="8"/>
        <v>0</v>
      </c>
      <c r="F188" s="744"/>
      <c r="G188" s="39"/>
    </row>
    <row r="189" spans="2:11" ht="12.5" x14ac:dyDescent="0.25">
      <c r="B189" s="239">
        <f>'IV. INPUT-Project'!$B$134</f>
        <v>0</v>
      </c>
      <c r="C189" s="177">
        <f>'IV. INPUT-Project'!$C$134</f>
        <v>0</v>
      </c>
      <c r="D189" s="177">
        <f>'IV. INPUT-Project'!K152</f>
        <v>0</v>
      </c>
      <c r="E189" s="238">
        <f t="shared" si="8"/>
        <v>0</v>
      </c>
      <c r="F189" s="744"/>
      <c r="G189" s="39"/>
    </row>
    <row r="190" spans="2:11" thickBot="1" x14ac:dyDescent="0.3">
      <c r="B190" s="251">
        <f>'IV. INPUT-Project'!$B$135</f>
        <v>0</v>
      </c>
      <c r="C190" s="182">
        <f>'IV. INPUT-Project'!$C$135</f>
        <v>0</v>
      </c>
      <c r="D190" s="182">
        <f>'IV. INPUT-Project'!K153</f>
        <v>0</v>
      </c>
      <c r="E190" s="257">
        <f t="shared" si="8"/>
        <v>0</v>
      </c>
      <c r="F190" s="745"/>
      <c r="G190" s="39"/>
    </row>
    <row r="191" spans="2:11" ht="13.5" thickBot="1" x14ac:dyDescent="0.35">
      <c r="B191" s="254" t="s">
        <v>449</v>
      </c>
      <c r="C191" s="255">
        <f>SUM(C179:C190)</f>
        <v>0</v>
      </c>
      <c r="D191" s="256">
        <f>SUM(D179:D190)</f>
        <v>0</v>
      </c>
      <c r="E191" s="257">
        <f>SUM(E179:E190)</f>
        <v>0</v>
      </c>
      <c r="F191" s="267">
        <f>(C175*C176*'III. INPUT-Baseline'!G48*0.68)*(E191)</f>
        <v>0</v>
      </c>
      <c r="G191" s="39"/>
    </row>
    <row r="192" spans="2:11" x14ac:dyDescent="0.3">
      <c r="B192" s="98"/>
      <c r="E192" s="11"/>
      <c r="F192" s="268"/>
      <c r="G192" s="39"/>
    </row>
    <row r="193" spans="2:11" ht="13.5" thickBot="1" x14ac:dyDescent="0.35">
      <c r="B193" s="98"/>
      <c r="E193" s="11"/>
      <c r="F193" s="268"/>
      <c r="G193" s="39"/>
    </row>
    <row r="194" spans="2:11" ht="13.5" thickBot="1" x14ac:dyDescent="0.35">
      <c r="B194" s="746">
        <f>'III. INPUT-Baseline'!B63</f>
        <v>0</v>
      </c>
      <c r="C194" s="747"/>
      <c r="D194" s="240"/>
      <c r="E194" s="240"/>
      <c r="F194" s="271"/>
      <c r="G194" s="241"/>
      <c r="H194" s="240"/>
      <c r="I194" s="240"/>
      <c r="J194" s="240"/>
      <c r="K194" s="240"/>
    </row>
    <row r="195" spans="2:11" ht="15" x14ac:dyDescent="0.4">
      <c r="B195" s="229" t="s">
        <v>502</v>
      </c>
      <c r="C195" s="230">
        <f>'VI. Baseline Non-Anaerobic CH4'!E25</f>
        <v>0</v>
      </c>
      <c r="D195" s="231"/>
      <c r="E195" s="231"/>
      <c r="F195" s="270"/>
      <c r="G195" s="233"/>
      <c r="H195" s="231"/>
      <c r="I195" s="231"/>
      <c r="J195" s="231"/>
      <c r="K195" s="231"/>
    </row>
    <row r="196" spans="2:11" ht="16.5" thickBot="1" x14ac:dyDescent="0.45">
      <c r="B196" s="234" t="s">
        <v>503</v>
      </c>
      <c r="C196" s="235">
        <f>'III. INPUT-Baseline'!C120</f>
        <v>0</v>
      </c>
      <c r="D196" s="231"/>
      <c r="E196" s="231"/>
      <c r="F196" s="270"/>
      <c r="G196" s="233"/>
      <c r="H196" s="231"/>
      <c r="I196" s="231"/>
      <c r="J196" s="231"/>
      <c r="K196" s="231"/>
    </row>
    <row r="197" spans="2:11" ht="13.5" thickBot="1" x14ac:dyDescent="0.35">
      <c r="B197" s="236"/>
      <c r="C197" s="243"/>
      <c r="D197" s="231"/>
      <c r="E197" s="231"/>
      <c r="F197" s="270"/>
      <c r="G197" s="233"/>
      <c r="H197" s="231"/>
      <c r="I197" s="231"/>
      <c r="J197" s="231"/>
      <c r="K197" s="231"/>
    </row>
    <row r="198" spans="2:11" s="4" customFormat="1" ht="28.5" thickBot="1" x14ac:dyDescent="0.45">
      <c r="B198" s="252" t="s">
        <v>509</v>
      </c>
      <c r="C198" s="166" t="s">
        <v>505</v>
      </c>
      <c r="D198" s="166" t="s">
        <v>506</v>
      </c>
      <c r="E198" s="253" t="s">
        <v>507</v>
      </c>
      <c r="F198" s="261" t="s">
        <v>508</v>
      </c>
      <c r="G198" s="60"/>
    </row>
    <row r="199" spans="2:11" ht="12.5" x14ac:dyDescent="0.25">
      <c r="B199" s="249">
        <f>'IV. INPUT-Project'!$B$123</f>
        <v>0</v>
      </c>
      <c r="C199" s="181">
        <f>'IV. INPUT-Project'!$C$123</f>
        <v>0</v>
      </c>
      <c r="D199" s="181">
        <f>'IV. INPUT-Project'!L140</f>
        <v>0</v>
      </c>
      <c r="E199" s="258">
        <f>C199*D199</f>
        <v>0</v>
      </c>
      <c r="F199" s="743"/>
      <c r="G199" s="39"/>
    </row>
    <row r="200" spans="2:11" ht="12.5" x14ac:dyDescent="0.25">
      <c r="B200" s="239">
        <f>'IV. INPUT-Project'!$B$124</f>
        <v>0</v>
      </c>
      <c r="C200" s="177">
        <f>'IV. INPUT-Project'!$C$124</f>
        <v>0</v>
      </c>
      <c r="D200" s="177">
        <f>'IV. INPUT-Project'!L141</f>
        <v>0</v>
      </c>
      <c r="E200" s="238">
        <f t="shared" ref="E200:E210" si="9">C200*D200</f>
        <v>0</v>
      </c>
      <c r="F200" s="744"/>
      <c r="G200" s="39"/>
    </row>
    <row r="201" spans="2:11" ht="12.5" x14ac:dyDescent="0.25">
      <c r="B201" s="239">
        <f>'IV. INPUT-Project'!$B$126</f>
        <v>0</v>
      </c>
      <c r="C201" s="177">
        <f>'IV. INPUT-Project'!$C$126</f>
        <v>0</v>
      </c>
      <c r="D201" s="177">
        <f>'IV. INPUT-Project'!L144</f>
        <v>0</v>
      </c>
      <c r="E201" s="238">
        <f t="shared" si="9"/>
        <v>0</v>
      </c>
      <c r="F201" s="744"/>
      <c r="G201" s="39"/>
    </row>
    <row r="202" spans="2:11" ht="12.5" x14ac:dyDescent="0.25">
      <c r="B202" s="239">
        <f>'IV. INPUT-Project'!$B$127</f>
        <v>0</v>
      </c>
      <c r="C202" s="177">
        <f>'IV. INPUT-Project'!$C$127</f>
        <v>0</v>
      </c>
      <c r="D202" s="177">
        <f>'IV. INPUT-Project'!L145</f>
        <v>0</v>
      </c>
      <c r="E202" s="238">
        <f t="shared" si="9"/>
        <v>0</v>
      </c>
      <c r="F202" s="744"/>
      <c r="G202" s="39"/>
    </row>
    <row r="203" spans="2:11" ht="12.5" x14ac:dyDescent="0.25">
      <c r="B203" s="239">
        <f>'IV. INPUT-Project'!$B$128</f>
        <v>0</v>
      </c>
      <c r="C203" s="177">
        <f>'IV. INPUT-Project'!$C$128</f>
        <v>0</v>
      </c>
      <c r="D203" s="177">
        <f>'IV. INPUT-Project'!L146</f>
        <v>0</v>
      </c>
      <c r="E203" s="238">
        <f t="shared" si="9"/>
        <v>0</v>
      </c>
      <c r="F203" s="744"/>
      <c r="G203" s="39"/>
    </row>
    <row r="204" spans="2:11" ht="12.5" x14ac:dyDescent="0.25">
      <c r="B204" s="239">
        <f>'IV. INPUT-Project'!$B$129</f>
        <v>0</v>
      </c>
      <c r="C204" s="177">
        <f>'IV. INPUT-Project'!$C$129</f>
        <v>0</v>
      </c>
      <c r="D204" s="177">
        <f>'IV. INPUT-Project'!L147</f>
        <v>0</v>
      </c>
      <c r="E204" s="238">
        <f t="shared" si="9"/>
        <v>0</v>
      </c>
      <c r="F204" s="744"/>
      <c r="G204" s="39"/>
    </row>
    <row r="205" spans="2:11" ht="12.5" x14ac:dyDescent="0.25">
      <c r="B205" s="239">
        <f>'IV. INPUT-Project'!$B$130</f>
        <v>0</v>
      </c>
      <c r="C205" s="177">
        <f>'IV. INPUT-Project'!$C$130</f>
        <v>0</v>
      </c>
      <c r="D205" s="177">
        <f>'IV. INPUT-Project'!L148</f>
        <v>0</v>
      </c>
      <c r="E205" s="238">
        <f t="shared" si="9"/>
        <v>0</v>
      </c>
      <c r="F205" s="744"/>
      <c r="G205" s="39"/>
    </row>
    <row r="206" spans="2:11" ht="12.5" x14ac:dyDescent="0.25">
      <c r="B206" s="239">
        <f>'IV. INPUT-Project'!$B$131</f>
        <v>0</v>
      </c>
      <c r="C206" s="177">
        <f>'IV. INPUT-Project'!$C$131</f>
        <v>0</v>
      </c>
      <c r="D206" s="177">
        <f>'IV. INPUT-Project'!L149</f>
        <v>0</v>
      </c>
      <c r="E206" s="238">
        <f t="shared" si="9"/>
        <v>0</v>
      </c>
      <c r="F206" s="744"/>
      <c r="G206" s="39"/>
    </row>
    <row r="207" spans="2:11" ht="12.5" x14ac:dyDescent="0.25">
      <c r="B207" s="239">
        <f>'IV. INPUT-Project'!$B$132</f>
        <v>0</v>
      </c>
      <c r="C207" s="177">
        <f>'IV. INPUT-Project'!$C$132</f>
        <v>0</v>
      </c>
      <c r="D207" s="177">
        <f>'IV. INPUT-Project'!L150</f>
        <v>0</v>
      </c>
      <c r="E207" s="238">
        <f t="shared" si="9"/>
        <v>0</v>
      </c>
      <c r="F207" s="744"/>
      <c r="G207" s="39"/>
    </row>
    <row r="208" spans="2:11" ht="12.5" x14ac:dyDescent="0.25">
      <c r="B208" s="239">
        <f>'IV. INPUT-Project'!$B$133</f>
        <v>0</v>
      </c>
      <c r="C208" s="177">
        <f>'IV. INPUT-Project'!$C$133</f>
        <v>0</v>
      </c>
      <c r="D208" s="177">
        <f>'IV. INPUT-Project'!L151</f>
        <v>0</v>
      </c>
      <c r="E208" s="238">
        <f t="shared" si="9"/>
        <v>0</v>
      </c>
      <c r="F208" s="744"/>
      <c r="G208" s="39"/>
    </row>
    <row r="209" spans="2:7" ht="12.5" x14ac:dyDescent="0.25">
      <c r="B209" s="239">
        <f>'IV. INPUT-Project'!$B$134</f>
        <v>0</v>
      </c>
      <c r="C209" s="177">
        <f>'IV. INPUT-Project'!$C$134</f>
        <v>0</v>
      </c>
      <c r="D209" s="177">
        <f>'IV. INPUT-Project'!L152</f>
        <v>0</v>
      </c>
      <c r="E209" s="238">
        <f t="shared" si="9"/>
        <v>0</v>
      </c>
      <c r="F209" s="744"/>
      <c r="G209" s="39"/>
    </row>
    <row r="210" spans="2:7" thickBot="1" x14ac:dyDescent="0.3">
      <c r="B210" s="251">
        <f>'IV. INPUT-Project'!$B$135</f>
        <v>0</v>
      </c>
      <c r="C210" s="182">
        <f>'IV. INPUT-Project'!$C$135</f>
        <v>0</v>
      </c>
      <c r="D210" s="182">
        <f>'IV. INPUT-Project'!L153</f>
        <v>0</v>
      </c>
      <c r="E210" s="257">
        <f t="shared" si="9"/>
        <v>0</v>
      </c>
      <c r="F210" s="745"/>
      <c r="G210" s="39"/>
    </row>
    <row r="211" spans="2:7" s="3" customFormat="1" ht="13.5" thickBot="1" x14ac:dyDescent="0.35">
      <c r="B211" s="254" t="s">
        <v>449</v>
      </c>
      <c r="C211" s="255">
        <f>SUM(C199:C210)</f>
        <v>0</v>
      </c>
      <c r="D211" s="256">
        <f>SUM(D199:D210)</f>
        <v>0</v>
      </c>
      <c r="E211" s="257">
        <f>SUM(E199:E210)</f>
        <v>0</v>
      </c>
      <c r="F211" s="267">
        <f>(C195*C196*'III. INPUT-Baseline'!G48*0.68)*(E211)</f>
        <v>0</v>
      </c>
      <c r="G211" s="61"/>
    </row>
    <row r="212" spans="2:7" x14ac:dyDescent="0.3">
      <c r="B212" s="98"/>
      <c r="E212" s="11"/>
      <c r="F212" s="268"/>
      <c r="G212" s="39"/>
    </row>
    <row r="213" spans="2:7" x14ac:dyDescent="0.3">
      <c r="B213" s="98"/>
      <c r="E213" s="11"/>
      <c r="F213" s="268"/>
      <c r="G213" s="39"/>
    </row>
    <row r="215" spans="2:7" ht="15.5" x14ac:dyDescent="0.35">
      <c r="B215" s="86" t="s">
        <v>510</v>
      </c>
    </row>
    <row r="216" spans="2:7" ht="13.5" thickBot="1" x14ac:dyDescent="0.35"/>
    <row r="217" spans="2:7" s="4" customFormat="1" ht="30.5" thickBot="1" x14ac:dyDescent="0.45">
      <c r="B217" s="165" t="s">
        <v>94</v>
      </c>
      <c r="C217" s="259" t="s">
        <v>511</v>
      </c>
      <c r="D217" s="166" t="s">
        <v>512</v>
      </c>
      <c r="E217" s="166" t="s">
        <v>513</v>
      </c>
      <c r="F217" s="261" t="s">
        <v>514</v>
      </c>
      <c r="G217" s="260" t="s">
        <v>515</v>
      </c>
    </row>
    <row r="218" spans="2:7" x14ac:dyDescent="0.3">
      <c r="B218" s="249">
        <f>'III. INPUT-Baseline'!B111</f>
        <v>0</v>
      </c>
      <c r="C218" s="181">
        <f>F31</f>
        <v>0</v>
      </c>
      <c r="D218" s="181">
        <f>'III. INPUT-Baseline'!C86</f>
        <v>0</v>
      </c>
      <c r="E218" s="181">
        <f>C218*D218</f>
        <v>0</v>
      </c>
      <c r="F218" s="272">
        <f>E218*0.001</f>
        <v>0</v>
      </c>
      <c r="G218" s="179">
        <f t="shared" ref="G218:G228" si="10">F218*gwp_ch4</f>
        <v>0</v>
      </c>
    </row>
    <row r="219" spans="2:7" x14ac:dyDescent="0.3">
      <c r="B219" s="239">
        <f>'III. INPUT-Baseline'!B112</f>
        <v>0</v>
      </c>
      <c r="C219" s="177">
        <f>F51</f>
        <v>0</v>
      </c>
      <c r="D219" s="177">
        <f>'III. INPUT-Baseline'!D86</f>
        <v>0</v>
      </c>
      <c r="E219" s="177">
        <f t="shared" ref="E219:E227" si="11">C219*D219</f>
        <v>0</v>
      </c>
      <c r="F219" s="273">
        <f t="shared" ref="F219:F227" si="12">E219*0.001</f>
        <v>0</v>
      </c>
      <c r="G219" s="250">
        <f t="shared" si="10"/>
        <v>0</v>
      </c>
    </row>
    <row r="220" spans="2:7" x14ac:dyDescent="0.3">
      <c r="B220" s="239">
        <f>'III. INPUT-Baseline'!B113</f>
        <v>0</v>
      </c>
      <c r="C220" s="177">
        <f>F71</f>
        <v>0</v>
      </c>
      <c r="D220" s="177">
        <f>'III. INPUT-Baseline'!E86</f>
        <v>0</v>
      </c>
      <c r="E220" s="177">
        <f t="shared" si="11"/>
        <v>0</v>
      </c>
      <c r="F220" s="273">
        <f t="shared" si="12"/>
        <v>0</v>
      </c>
      <c r="G220" s="250">
        <f t="shared" si="10"/>
        <v>0</v>
      </c>
    </row>
    <row r="221" spans="2:7" x14ac:dyDescent="0.3">
      <c r="B221" s="239">
        <f>'III. INPUT-Baseline'!B114</f>
        <v>0</v>
      </c>
      <c r="C221" s="177">
        <f>F91</f>
        <v>0</v>
      </c>
      <c r="D221" s="177">
        <f>'III. INPUT-Baseline'!F86</f>
        <v>0</v>
      </c>
      <c r="E221" s="177">
        <f t="shared" si="11"/>
        <v>0</v>
      </c>
      <c r="F221" s="273">
        <f t="shared" si="12"/>
        <v>0</v>
      </c>
      <c r="G221" s="250">
        <f t="shared" si="10"/>
        <v>0</v>
      </c>
    </row>
    <row r="222" spans="2:7" x14ac:dyDescent="0.3">
      <c r="B222" s="239">
        <f>'III. INPUT-Baseline'!B115</f>
        <v>0</v>
      </c>
      <c r="C222" s="177">
        <f>F111</f>
        <v>0</v>
      </c>
      <c r="D222" s="177">
        <f>'III. INPUT-Baseline'!G86</f>
        <v>0</v>
      </c>
      <c r="E222" s="177">
        <f t="shared" si="11"/>
        <v>0</v>
      </c>
      <c r="F222" s="273">
        <f t="shared" si="12"/>
        <v>0</v>
      </c>
      <c r="G222" s="250">
        <f t="shared" si="10"/>
        <v>0</v>
      </c>
    </row>
    <row r="223" spans="2:7" x14ac:dyDescent="0.3">
      <c r="B223" s="239">
        <f>'III. INPUT-Baseline'!B116</f>
        <v>0</v>
      </c>
      <c r="C223" s="177">
        <f>F131</f>
        <v>0</v>
      </c>
      <c r="D223" s="177">
        <f>'III. INPUT-Baseline'!H86</f>
        <v>0</v>
      </c>
      <c r="E223" s="177">
        <f t="shared" si="11"/>
        <v>0</v>
      </c>
      <c r="F223" s="273">
        <f t="shared" si="12"/>
        <v>0</v>
      </c>
      <c r="G223" s="250">
        <f t="shared" si="10"/>
        <v>0</v>
      </c>
    </row>
    <row r="224" spans="2:7" x14ac:dyDescent="0.3">
      <c r="B224" s="239">
        <f>'III. INPUT-Baseline'!B117</f>
        <v>0</v>
      </c>
      <c r="C224" s="177">
        <f>F151</f>
        <v>0</v>
      </c>
      <c r="D224" s="177">
        <f>'III. INPUT-Baseline'!I86</f>
        <v>0</v>
      </c>
      <c r="E224" s="177">
        <f t="shared" si="11"/>
        <v>0</v>
      </c>
      <c r="F224" s="273">
        <f t="shared" si="12"/>
        <v>0</v>
      </c>
      <c r="G224" s="250">
        <f t="shared" si="10"/>
        <v>0</v>
      </c>
    </row>
    <row r="225" spans="2:7" x14ac:dyDescent="0.3">
      <c r="B225" s="239">
        <f>'III. INPUT-Baseline'!B118</f>
        <v>0</v>
      </c>
      <c r="C225" s="177">
        <f>F171</f>
        <v>0</v>
      </c>
      <c r="D225" s="177">
        <f>'III. INPUT-Baseline'!J86</f>
        <v>0</v>
      </c>
      <c r="E225" s="177">
        <f t="shared" si="11"/>
        <v>0</v>
      </c>
      <c r="F225" s="273">
        <f t="shared" si="12"/>
        <v>0</v>
      </c>
      <c r="G225" s="250">
        <f t="shared" si="10"/>
        <v>0</v>
      </c>
    </row>
    <row r="226" spans="2:7" x14ac:dyDescent="0.3">
      <c r="B226" s="239">
        <f>'III. INPUT-Baseline'!B119</f>
        <v>0</v>
      </c>
      <c r="C226" s="177">
        <f>F191</f>
        <v>0</v>
      </c>
      <c r="D226" s="177">
        <f>'III. INPUT-Baseline'!K86</f>
        <v>0</v>
      </c>
      <c r="E226" s="177">
        <f t="shared" si="11"/>
        <v>0</v>
      </c>
      <c r="F226" s="273">
        <f t="shared" si="12"/>
        <v>0</v>
      </c>
      <c r="G226" s="250">
        <f t="shared" si="10"/>
        <v>0</v>
      </c>
    </row>
    <row r="227" spans="2:7" ht="13.5" thickBot="1" x14ac:dyDescent="0.35">
      <c r="B227" s="251">
        <f>'III. INPUT-Baseline'!B120</f>
        <v>0</v>
      </c>
      <c r="C227" s="182">
        <f>F211</f>
        <v>0</v>
      </c>
      <c r="D227" s="182">
        <f>'III. INPUT-Baseline'!L86</f>
        <v>0</v>
      </c>
      <c r="E227" s="182">
        <f t="shared" si="11"/>
        <v>0</v>
      </c>
      <c r="F227" s="274">
        <f t="shared" si="12"/>
        <v>0</v>
      </c>
      <c r="G227" s="160">
        <f t="shared" si="10"/>
        <v>0</v>
      </c>
    </row>
    <row r="228" spans="2:7" ht="13.5" thickBot="1" x14ac:dyDescent="0.35">
      <c r="B228" s="244" t="s">
        <v>449</v>
      </c>
      <c r="C228" s="245"/>
      <c r="D228" s="246"/>
      <c r="E228" s="247">
        <f>SUM(E218:E227)</f>
        <v>0</v>
      </c>
      <c r="F228" s="275">
        <f>E228*0.001</f>
        <v>0</v>
      </c>
      <c r="G228" s="248">
        <f t="shared" si="10"/>
        <v>0</v>
      </c>
    </row>
    <row r="229" spans="2:7" x14ac:dyDescent="0.25">
      <c r="E229" s="11"/>
      <c r="F229" s="268"/>
      <c r="G229" s="39"/>
    </row>
    <row r="230" spans="2:7" ht="13.5" thickBot="1" x14ac:dyDescent="0.35"/>
    <row r="231" spans="2:7" x14ac:dyDescent="0.3">
      <c r="B231" s="726" t="s">
        <v>241</v>
      </c>
      <c r="C231" s="727"/>
      <c r="D231" s="728"/>
    </row>
    <row r="232" spans="2:7" x14ac:dyDescent="0.3">
      <c r="B232" s="729"/>
      <c r="C232" s="678"/>
      <c r="D232" s="730"/>
    </row>
    <row r="233" spans="2:7" x14ac:dyDescent="0.3">
      <c r="B233" s="729"/>
      <c r="C233" s="678"/>
      <c r="D233" s="730"/>
    </row>
    <row r="234" spans="2:7" x14ac:dyDescent="0.3">
      <c r="B234" s="729"/>
      <c r="C234" s="678"/>
      <c r="D234" s="730"/>
    </row>
    <row r="235" spans="2:7" x14ac:dyDescent="0.3">
      <c r="B235" s="729"/>
      <c r="C235" s="678"/>
      <c r="D235" s="730"/>
    </row>
    <row r="236" spans="2:7" x14ac:dyDescent="0.3">
      <c r="B236" s="729"/>
      <c r="C236" s="678"/>
      <c r="D236" s="730"/>
    </row>
    <row r="237" spans="2:7" x14ac:dyDescent="0.3">
      <c r="B237" s="729"/>
      <c r="C237" s="678"/>
      <c r="D237" s="730"/>
    </row>
    <row r="238" spans="2:7" x14ac:dyDescent="0.3">
      <c r="B238" s="729"/>
      <c r="C238" s="678"/>
      <c r="D238" s="730"/>
    </row>
    <row r="239" spans="2:7" x14ac:dyDescent="0.3">
      <c r="B239" s="729"/>
      <c r="C239" s="678"/>
      <c r="D239" s="730"/>
    </row>
    <row r="240" spans="2:7" x14ac:dyDescent="0.3">
      <c r="B240" s="729"/>
      <c r="C240" s="678"/>
      <c r="D240" s="730"/>
    </row>
    <row r="241" spans="2:4" x14ac:dyDescent="0.3">
      <c r="B241" s="729"/>
      <c r="C241" s="678"/>
      <c r="D241" s="730"/>
    </row>
    <row r="242" spans="2:4" x14ac:dyDescent="0.3">
      <c r="B242" s="729"/>
      <c r="C242" s="678"/>
      <c r="D242" s="730"/>
    </row>
    <row r="243" spans="2:4" x14ac:dyDescent="0.3">
      <c r="B243" s="729"/>
      <c r="C243" s="678"/>
      <c r="D243" s="730"/>
    </row>
    <row r="244" spans="2:4" x14ac:dyDescent="0.3">
      <c r="B244" s="729"/>
      <c r="C244" s="678"/>
      <c r="D244" s="730"/>
    </row>
    <row r="245" spans="2:4" x14ac:dyDescent="0.3">
      <c r="B245" s="729"/>
      <c r="C245" s="678"/>
      <c r="D245" s="730"/>
    </row>
    <row r="246" spans="2:4" x14ac:dyDescent="0.3">
      <c r="B246" s="729"/>
      <c r="C246" s="678"/>
      <c r="D246" s="730"/>
    </row>
    <row r="247" spans="2:4" x14ac:dyDescent="0.3">
      <c r="B247" s="729"/>
      <c r="C247" s="678"/>
      <c r="D247" s="730"/>
    </row>
    <row r="248" spans="2:4" x14ac:dyDescent="0.3">
      <c r="B248" s="729"/>
      <c r="C248" s="678"/>
      <c r="D248" s="730"/>
    </row>
    <row r="249" spans="2:4" x14ac:dyDescent="0.3">
      <c r="B249" s="729"/>
      <c r="C249" s="678"/>
      <c r="D249" s="730"/>
    </row>
    <row r="250" spans="2:4" x14ac:dyDescent="0.3">
      <c r="B250" s="729"/>
      <c r="C250" s="678"/>
      <c r="D250" s="730"/>
    </row>
    <row r="251" spans="2:4" ht="13.5" thickBot="1" x14ac:dyDescent="0.35">
      <c r="B251" s="731"/>
      <c r="C251" s="732"/>
      <c r="D251" s="733"/>
    </row>
  </sheetData>
  <sheetProtection password="CCBF" sheet="1" objects="1" scenarios="1"/>
  <customSheetViews>
    <customSheetView guid="{A6F5A5FB-2E6E-47D3-842C-0D3D06DB341A}" scale="75">
      <selection activeCell="B2" sqref="B2"/>
      <rowBreaks count="3" manualBreakCount="3">
        <brk id="75" min="1" max="5" man="1"/>
        <brk id="135" min="1" max="5" man="1"/>
        <brk id="195" min="1" max="5" man="1"/>
      </rowBreaks>
      <pageMargins left="0" right="0" top="0" bottom="0" header="0" footer="0"/>
      <pageSetup scale="52" fitToHeight="4" orientation="portrait" r:id="rId1"/>
      <headerFooter alignWithMargins="0"/>
    </customSheetView>
  </customSheetViews>
  <mergeCells count="22">
    <mergeCell ref="F19:F30"/>
    <mergeCell ref="B74:C74"/>
    <mergeCell ref="B12:E12"/>
    <mergeCell ref="B34:C34"/>
    <mergeCell ref="B14:C14"/>
    <mergeCell ref="B54:C54"/>
    <mergeCell ref="B231:D251"/>
    <mergeCell ref="B194:C194"/>
    <mergeCell ref="B94:C94"/>
    <mergeCell ref="B114:C114"/>
    <mergeCell ref="B134:C134"/>
    <mergeCell ref="B154:C154"/>
    <mergeCell ref="B174:C174"/>
    <mergeCell ref="F179:F190"/>
    <mergeCell ref="F199:F210"/>
    <mergeCell ref="F39:F50"/>
    <mergeCell ref="F59:F70"/>
    <mergeCell ref="F79:F90"/>
    <mergeCell ref="F99:F110"/>
    <mergeCell ref="F119:F130"/>
    <mergeCell ref="F139:F150"/>
    <mergeCell ref="F159:F170"/>
  </mergeCells>
  <phoneticPr fontId="2" type="noConversion"/>
  <pageMargins left="0.75" right="0.75" top="1" bottom="1" header="0.5" footer="0.5"/>
  <pageSetup scale="52" fitToHeight="4" orientation="portrait" r:id="rId2"/>
  <headerFooter alignWithMargins="0"/>
  <rowBreaks count="3" manualBreakCount="3">
    <brk id="73" min="1" max="5" man="1"/>
    <brk id="133" min="1" max="5" man="1"/>
    <brk id="193" min="1" max="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B1:I39"/>
  <sheetViews>
    <sheetView showGridLines="0" topLeftCell="A13" zoomScale="80" zoomScaleNormal="80" workbookViewId="0">
      <selection activeCell="C43" sqref="C43"/>
    </sheetView>
  </sheetViews>
  <sheetFormatPr defaultColWidth="9.1796875" defaultRowHeight="13" x14ac:dyDescent="0.3"/>
  <cols>
    <col min="1" max="1" width="4.81640625" style="11" customWidth="1"/>
    <col min="2" max="2" width="46.1796875" style="11" customWidth="1"/>
    <col min="3" max="3" width="23.1796875" style="60" bestFit="1" customWidth="1"/>
    <col min="4" max="4" width="34.453125" style="11" customWidth="1"/>
    <col min="5" max="5" width="15.453125" style="11" customWidth="1"/>
    <col min="6" max="6" width="25.81640625" style="11" bestFit="1" customWidth="1"/>
    <col min="7" max="7" width="24.453125" style="11" bestFit="1" customWidth="1"/>
    <col min="8" max="8" width="27.1796875" style="11" bestFit="1" customWidth="1"/>
    <col min="9" max="16384" width="9.1796875" style="11"/>
  </cols>
  <sheetData>
    <row r="1" spans="2:9" x14ac:dyDescent="0.3">
      <c r="B1" s="12" t="str">
        <f>version</f>
        <v>COPtool Beta Version 2014k - September 2018</v>
      </c>
    </row>
    <row r="2" spans="2:9" x14ac:dyDescent="0.3">
      <c r="B2" s="12" t="s">
        <v>81</v>
      </c>
    </row>
    <row r="3" spans="2:9" x14ac:dyDescent="0.3">
      <c r="B3" s="12"/>
    </row>
    <row r="4" spans="2:9" ht="18" x14ac:dyDescent="0.4">
      <c r="B4" s="13" t="s">
        <v>516</v>
      </c>
    </row>
    <row r="5" spans="2:9" x14ac:dyDescent="0.3">
      <c r="B5" s="3"/>
    </row>
    <row r="6" spans="2:9" x14ac:dyDescent="0.3">
      <c r="B6" s="3" t="s">
        <v>83</v>
      </c>
      <c r="C6" s="67"/>
      <c r="D6" s="25"/>
      <c r="E6" s="4"/>
      <c r="F6" s="49"/>
      <c r="G6" s="49"/>
      <c r="H6" s="49"/>
      <c r="I6" s="49"/>
    </row>
    <row r="7" spans="2:9" x14ac:dyDescent="0.3">
      <c r="B7" s="92" t="s">
        <v>84</v>
      </c>
      <c r="C7" s="185" t="s">
        <v>138</v>
      </c>
      <c r="D7" s="227"/>
      <c r="E7" s="4"/>
      <c r="F7" s="49"/>
      <c r="G7" s="49"/>
      <c r="H7" s="49"/>
      <c r="I7" s="49"/>
    </row>
    <row r="8" spans="2:9" x14ac:dyDescent="0.3">
      <c r="B8" s="169" t="s">
        <v>86</v>
      </c>
      <c r="C8" s="187" t="s">
        <v>87</v>
      </c>
      <c r="D8" s="97"/>
      <c r="E8" s="4"/>
      <c r="F8" s="49"/>
      <c r="G8" s="49"/>
      <c r="H8" s="49"/>
      <c r="I8" s="49"/>
    </row>
    <row r="9" spans="2:9" x14ac:dyDescent="0.3">
      <c r="B9" s="322" t="s">
        <v>143</v>
      </c>
      <c r="C9" s="325" t="s">
        <v>144</v>
      </c>
      <c r="D9" s="319"/>
      <c r="E9" s="4"/>
      <c r="F9" s="49"/>
      <c r="G9" s="49"/>
      <c r="H9" s="49"/>
      <c r="I9" s="49"/>
    </row>
    <row r="10" spans="2:9" ht="13.5" thickBot="1" x14ac:dyDescent="0.35">
      <c r="B10" s="24"/>
      <c r="C10" s="67"/>
      <c r="D10" s="25"/>
      <c r="E10" s="4"/>
      <c r="F10" s="49"/>
      <c r="G10" s="49"/>
      <c r="H10" s="49"/>
      <c r="I10" s="49"/>
    </row>
    <row r="11" spans="2:9" x14ac:dyDescent="0.3">
      <c r="B11" s="98"/>
      <c r="C11" s="39"/>
      <c r="E11" s="3"/>
      <c r="F11" s="726" t="s">
        <v>241</v>
      </c>
      <c r="G11" s="727"/>
      <c r="H11" s="728"/>
    </row>
    <row r="12" spans="2:9" ht="30.75" customHeight="1" x14ac:dyDescent="0.25">
      <c r="B12" s="684" t="s">
        <v>517</v>
      </c>
      <c r="C12" s="684"/>
      <c r="D12" s="684"/>
      <c r="E12" s="34"/>
      <c r="F12" s="729"/>
      <c r="G12" s="678"/>
      <c r="H12" s="730"/>
    </row>
    <row r="13" spans="2:9" ht="15.75" customHeight="1" x14ac:dyDescent="0.3">
      <c r="B13" s="46"/>
      <c r="C13" s="148"/>
      <c r="D13" s="34"/>
      <c r="E13" s="34"/>
      <c r="F13" s="729"/>
      <c r="G13" s="678"/>
      <c r="H13" s="730"/>
    </row>
    <row r="14" spans="2:9" ht="15.5" x14ac:dyDescent="0.35">
      <c r="B14" s="206" t="s">
        <v>518</v>
      </c>
      <c r="F14" s="729"/>
      <c r="G14" s="678"/>
      <c r="H14" s="730"/>
    </row>
    <row r="15" spans="2:9" x14ac:dyDescent="0.3">
      <c r="B15" s="277"/>
      <c r="F15" s="729"/>
      <c r="G15" s="678"/>
      <c r="H15" s="730"/>
    </row>
    <row r="16" spans="2:9" ht="15" x14ac:dyDescent="0.4">
      <c r="B16" s="283" t="s">
        <v>519</v>
      </c>
      <c r="C16" s="278">
        <f>'VIII. Project CH4 (BCS)'!J27</f>
        <v>0</v>
      </c>
      <c r="D16" s="4"/>
      <c r="E16" s="4"/>
      <c r="F16" s="729"/>
      <c r="G16" s="678"/>
      <c r="H16" s="730"/>
    </row>
    <row r="17" spans="2:8" ht="15" x14ac:dyDescent="0.4">
      <c r="B17" s="283" t="s">
        <v>520</v>
      </c>
      <c r="C17" s="278">
        <f>'VIII. Project CH4 (BCS)'!K27</f>
        <v>0</v>
      </c>
      <c r="F17" s="729"/>
      <c r="G17" s="678"/>
      <c r="H17" s="730"/>
    </row>
    <row r="18" spans="2:8" x14ac:dyDescent="0.3">
      <c r="B18" s="37"/>
      <c r="F18" s="729"/>
      <c r="G18" s="678"/>
      <c r="H18" s="730"/>
    </row>
    <row r="19" spans="2:8" ht="15.5" x14ac:dyDescent="0.3">
      <c r="B19" s="276" t="s">
        <v>521</v>
      </c>
      <c r="F19" s="729"/>
      <c r="G19" s="678"/>
      <c r="H19" s="730"/>
    </row>
    <row r="20" spans="2:8" x14ac:dyDescent="0.3">
      <c r="F20" s="729"/>
      <c r="G20" s="678"/>
      <c r="H20" s="730"/>
    </row>
    <row r="21" spans="2:8" ht="15" x14ac:dyDescent="0.3">
      <c r="B21" s="78" t="s">
        <v>522</v>
      </c>
      <c r="C21" s="278">
        <f>'IX. Venting'!H29</f>
        <v>0</v>
      </c>
      <c r="F21" s="729"/>
      <c r="G21" s="678"/>
      <c r="H21" s="730"/>
    </row>
    <row r="22" spans="2:8" ht="15" x14ac:dyDescent="0.3">
      <c r="B22" s="78" t="s">
        <v>523</v>
      </c>
      <c r="C22" s="278">
        <f>'IX. Venting'!I29</f>
        <v>0</v>
      </c>
      <c r="F22" s="729"/>
      <c r="G22" s="678"/>
      <c r="H22" s="730"/>
    </row>
    <row r="23" spans="2:8" x14ac:dyDescent="0.3">
      <c r="B23" s="37"/>
      <c r="F23" s="729"/>
      <c r="G23" s="678"/>
      <c r="H23" s="730"/>
    </row>
    <row r="24" spans="2:8" ht="15.5" x14ac:dyDescent="0.35">
      <c r="B24" s="206" t="s">
        <v>524</v>
      </c>
      <c r="F24" s="729"/>
      <c r="G24" s="678"/>
      <c r="H24" s="730"/>
    </row>
    <row r="25" spans="2:8" x14ac:dyDescent="0.3">
      <c r="B25" s="3"/>
      <c r="F25" s="729"/>
      <c r="G25" s="678"/>
      <c r="H25" s="730"/>
    </row>
    <row r="26" spans="2:8" ht="15" x14ac:dyDescent="0.4">
      <c r="B26" s="283" t="s">
        <v>525</v>
      </c>
      <c r="C26" s="278">
        <f>'X. Effluent Pond'!E15</f>
        <v>0</v>
      </c>
      <c r="F26" s="729"/>
      <c r="G26" s="678"/>
      <c r="H26" s="730"/>
    </row>
    <row r="27" spans="2:8" ht="15" x14ac:dyDescent="0.4">
      <c r="B27" s="283" t="s">
        <v>526</v>
      </c>
      <c r="C27" s="278">
        <f>'X. Effluent Pond'!F15</f>
        <v>0</v>
      </c>
      <c r="D27" s="25"/>
      <c r="F27" s="729"/>
      <c r="G27" s="678"/>
      <c r="H27" s="730"/>
    </row>
    <row r="28" spans="2:8" x14ac:dyDescent="0.3">
      <c r="B28" s="3"/>
      <c r="D28" s="25"/>
      <c r="F28" s="729"/>
      <c r="G28" s="678"/>
      <c r="H28" s="730"/>
    </row>
    <row r="29" spans="2:8" ht="15.5" x14ac:dyDescent="0.35">
      <c r="B29" s="86" t="s">
        <v>527</v>
      </c>
      <c r="F29" s="729"/>
      <c r="G29" s="678"/>
      <c r="H29" s="730"/>
    </row>
    <row r="30" spans="2:8" x14ac:dyDescent="0.3">
      <c r="B30" s="98"/>
      <c r="F30" s="729"/>
      <c r="G30" s="678"/>
      <c r="H30" s="730"/>
    </row>
    <row r="31" spans="2:8" ht="15" x14ac:dyDescent="0.4">
      <c r="B31" s="283" t="s">
        <v>528</v>
      </c>
      <c r="C31" s="278">
        <f>'XI. Project CH4 (non-BCS)'!F228</f>
        <v>0</v>
      </c>
      <c r="D31" s="98"/>
      <c r="F31" s="729"/>
      <c r="G31" s="678"/>
      <c r="H31" s="730"/>
    </row>
    <row r="32" spans="2:8" ht="15" x14ac:dyDescent="0.4">
      <c r="B32" s="283" t="s">
        <v>529</v>
      </c>
      <c r="C32" s="278">
        <f>'XI. Project CH4 (non-BCS)'!G228</f>
        <v>0</v>
      </c>
      <c r="F32" s="729"/>
      <c r="G32" s="678"/>
      <c r="H32" s="730"/>
    </row>
    <row r="33" spans="2:8" x14ac:dyDescent="0.3">
      <c r="F33" s="729"/>
      <c r="G33" s="678"/>
      <c r="H33" s="730"/>
    </row>
    <row r="34" spans="2:8" x14ac:dyDescent="0.3">
      <c r="F34" s="729"/>
      <c r="G34" s="678"/>
      <c r="H34" s="730"/>
    </row>
    <row r="35" spans="2:8" ht="15.5" x14ac:dyDescent="0.35">
      <c r="B35" s="86" t="s">
        <v>530</v>
      </c>
      <c r="C35" s="39"/>
      <c r="F35" s="729"/>
      <c r="G35" s="678"/>
      <c r="H35" s="730"/>
    </row>
    <row r="36" spans="2:8" ht="13.5" thickBot="1" x14ac:dyDescent="0.35">
      <c r="B36" s="98"/>
      <c r="C36" s="39"/>
      <c r="F36" s="729"/>
      <c r="G36" s="678"/>
      <c r="H36" s="730"/>
    </row>
    <row r="37" spans="2:8" s="3" customFormat="1" ht="15" x14ac:dyDescent="0.4">
      <c r="B37" s="279" t="s">
        <v>531</v>
      </c>
      <c r="C37" s="280">
        <f>C16+C21+C26+C31</f>
        <v>0</v>
      </c>
      <c r="D37" s="281"/>
      <c r="E37" s="72"/>
      <c r="F37" s="729"/>
      <c r="G37" s="678"/>
      <c r="H37" s="730"/>
    </row>
    <row r="38" spans="2:8" s="3" customFormat="1" ht="15.5" thickBot="1" x14ac:dyDescent="0.45">
      <c r="B38" s="234" t="s">
        <v>532</v>
      </c>
      <c r="C38" s="160">
        <f>C17+C22+C27+C32</f>
        <v>0</v>
      </c>
      <c r="D38" s="282"/>
      <c r="F38" s="729"/>
      <c r="G38" s="678"/>
      <c r="H38" s="730"/>
    </row>
    <row r="39" spans="2:8" ht="13.5" thickBot="1" x14ac:dyDescent="0.35">
      <c r="F39" s="731"/>
      <c r="G39" s="732"/>
      <c r="H39" s="733"/>
    </row>
  </sheetData>
  <sheetProtection password="CCBF" sheet="1" objects="1" scenarios="1"/>
  <customSheetViews>
    <customSheetView guid="{A6F5A5FB-2E6E-47D3-842C-0D3D06DB341A}" scale="75" topLeftCell="B1">
      <selection activeCell="B2" sqref="B2"/>
      <pageMargins left="0" right="0" top="0" bottom="0" header="0" footer="0"/>
      <pageSetup scale="80" orientation="portrait" r:id="rId1"/>
      <headerFooter alignWithMargins="0"/>
    </customSheetView>
  </customSheetViews>
  <mergeCells count="2">
    <mergeCell ref="B12:D12"/>
    <mergeCell ref="F11:H39"/>
  </mergeCells>
  <phoneticPr fontId="2" type="noConversion"/>
  <pageMargins left="0.75" right="0.75" top="1" bottom="1" header="0.5" footer="0.5"/>
  <pageSetup scale="80" orientation="portrait"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B1:M88"/>
  <sheetViews>
    <sheetView showGridLines="0" zoomScale="80" zoomScaleNormal="80" workbookViewId="0">
      <selection activeCell="B53" sqref="B53"/>
    </sheetView>
  </sheetViews>
  <sheetFormatPr defaultColWidth="9.1796875" defaultRowHeight="12.5" x14ac:dyDescent="0.25"/>
  <cols>
    <col min="1" max="1" width="4.1796875" style="11" customWidth="1"/>
    <col min="2" max="2" width="42.1796875" style="11" customWidth="1"/>
    <col min="3" max="3" width="23" style="11" customWidth="1"/>
    <col min="4" max="4" width="16.1796875" style="11" bestFit="1" customWidth="1"/>
    <col min="5" max="5" width="22.81640625" style="11" bestFit="1" customWidth="1"/>
    <col min="6" max="6" width="12.81640625" style="263" bestFit="1" customWidth="1"/>
    <col min="7" max="7" width="5.453125" style="11" customWidth="1"/>
    <col min="8" max="8" width="17.453125" style="11" customWidth="1"/>
    <col min="9" max="9" width="16.81640625" style="11" customWidth="1"/>
    <col min="10" max="10" width="25.81640625" style="11" customWidth="1"/>
    <col min="11" max="16384" width="9.1796875" style="11"/>
  </cols>
  <sheetData>
    <row r="1" spans="2:13" ht="13" x14ac:dyDescent="0.3">
      <c r="B1" s="12" t="str">
        <f>version</f>
        <v>COPtool Beta Version 2014k - September 2018</v>
      </c>
    </row>
    <row r="2" spans="2:13" ht="13" x14ac:dyDescent="0.3">
      <c r="B2" s="12" t="s">
        <v>81</v>
      </c>
    </row>
    <row r="3" spans="2:13" ht="13" x14ac:dyDescent="0.3">
      <c r="B3" s="12"/>
    </row>
    <row r="4" spans="2:13" ht="18" x14ac:dyDescent="0.4">
      <c r="B4" s="13" t="s">
        <v>533</v>
      </c>
    </row>
    <row r="5" spans="2:13" ht="13" x14ac:dyDescent="0.3">
      <c r="B5" s="3"/>
    </row>
    <row r="6" spans="2:13" ht="13" x14ac:dyDescent="0.3">
      <c r="B6" s="3" t="s">
        <v>83</v>
      </c>
      <c r="C6" s="24"/>
      <c r="D6" s="25"/>
      <c r="E6" s="49"/>
      <c r="G6" s="49"/>
      <c r="H6" s="49"/>
      <c r="I6" s="49"/>
      <c r="J6" s="49"/>
      <c r="K6" s="49"/>
      <c r="L6" s="49"/>
      <c r="M6" s="49"/>
    </row>
    <row r="7" spans="2:13" ht="13" x14ac:dyDescent="0.3">
      <c r="B7" s="92" t="s">
        <v>84</v>
      </c>
      <c r="C7" s="93" t="s">
        <v>138</v>
      </c>
      <c r="D7" s="227"/>
      <c r="E7" s="49"/>
      <c r="G7" s="49"/>
      <c r="H7" s="49"/>
      <c r="I7" s="49"/>
      <c r="J7" s="49"/>
      <c r="K7" s="49"/>
      <c r="L7" s="49"/>
      <c r="M7" s="49"/>
    </row>
    <row r="8" spans="2:13" ht="13" x14ac:dyDescent="0.3">
      <c r="B8" s="169" t="s">
        <v>86</v>
      </c>
      <c r="C8" s="96" t="s">
        <v>87</v>
      </c>
      <c r="D8" s="97"/>
      <c r="E8" s="49"/>
      <c r="G8" s="49"/>
      <c r="H8" s="49"/>
      <c r="I8" s="49"/>
      <c r="J8" s="49"/>
      <c r="K8" s="49"/>
      <c r="L8" s="49"/>
      <c r="M8" s="49"/>
    </row>
    <row r="9" spans="2:13" ht="13" x14ac:dyDescent="0.3">
      <c r="B9" s="322" t="s">
        <v>143</v>
      </c>
      <c r="C9" s="318" t="s">
        <v>144</v>
      </c>
      <c r="D9" s="319"/>
      <c r="E9" s="49"/>
      <c r="G9" s="49"/>
      <c r="H9" s="49"/>
      <c r="I9" s="49"/>
      <c r="J9" s="49"/>
      <c r="K9" s="49"/>
      <c r="L9" s="49"/>
      <c r="M9" s="49"/>
    </row>
    <row r="10" spans="2:13" x14ac:dyDescent="0.25">
      <c r="B10" s="284"/>
      <c r="C10" s="284"/>
      <c r="D10" s="285"/>
      <c r="E10" s="49"/>
      <c r="G10" s="49"/>
      <c r="H10" s="49"/>
      <c r="I10" s="49"/>
      <c r="J10" s="49"/>
      <c r="K10" s="49"/>
      <c r="L10" s="49"/>
      <c r="M10" s="49"/>
    </row>
    <row r="11" spans="2:13" x14ac:dyDescent="0.25">
      <c r="B11" s="286" t="s">
        <v>534</v>
      </c>
      <c r="C11" s="24"/>
      <c r="D11" s="25"/>
      <c r="E11" s="49"/>
      <c r="G11" s="49"/>
      <c r="H11" s="49"/>
      <c r="I11" s="49"/>
      <c r="J11" s="49"/>
      <c r="K11" s="49"/>
      <c r="L11" s="49"/>
      <c r="M11" s="49"/>
    </row>
    <row r="12" spans="2:13" ht="26.25" customHeight="1" x14ac:dyDescent="0.35">
      <c r="B12" s="86" t="s">
        <v>535</v>
      </c>
      <c r="C12" s="24"/>
      <c r="D12" s="25"/>
      <c r="E12" s="49"/>
      <c r="G12" s="49"/>
      <c r="H12" s="49"/>
      <c r="I12" s="49"/>
      <c r="J12" s="49"/>
      <c r="K12" s="49"/>
      <c r="L12" s="49"/>
      <c r="M12" s="49"/>
    </row>
    <row r="13" spans="2:13" ht="13" x14ac:dyDescent="0.3">
      <c r="B13" s="117"/>
      <c r="C13" s="24"/>
      <c r="D13" s="25"/>
      <c r="E13" s="49"/>
      <c r="G13" s="49"/>
      <c r="H13" s="49"/>
      <c r="I13" s="49"/>
      <c r="J13" s="49"/>
      <c r="K13" s="49"/>
      <c r="L13" s="49"/>
      <c r="M13" s="49"/>
    </row>
    <row r="14" spans="2:13" ht="13.5" thickBot="1" x14ac:dyDescent="0.35">
      <c r="B14" s="700" t="s">
        <v>536</v>
      </c>
      <c r="C14" s="701"/>
      <c r="D14" s="701"/>
      <c r="E14" s="701"/>
    </row>
    <row r="15" spans="2:13" ht="15" x14ac:dyDescent="0.4">
      <c r="B15" s="165" t="s">
        <v>294</v>
      </c>
      <c r="C15" s="166" t="s">
        <v>537</v>
      </c>
      <c r="D15" s="166" t="s">
        <v>296</v>
      </c>
      <c r="E15" s="166" t="s">
        <v>538</v>
      </c>
      <c r="F15" s="40" t="s">
        <v>539</v>
      </c>
      <c r="H15" s="726" t="s">
        <v>241</v>
      </c>
      <c r="I15" s="727"/>
      <c r="J15" s="728"/>
    </row>
    <row r="16" spans="2:13" x14ac:dyDescent="0.25">
      <c r="B16" s="311">
        <f>'III. INPUT-Baseline'!B192</f>
        <v>0</v>
      </c>
      <c r="C16" s="212">
        <f>'III. INPUT-Baseline'!C192</f>
        <v>0</v>
      </c>
      <c r="D16" s="212">
        <f>'III. INPUT-Baseline'!D192</f>
        <v>0</v>
      </c>
      <c r="E16" s="212">
        <f>'III. INPUT-Baseline'!E192</f>
        <v>0</v>
      </c>
      <c r="F16" s="301">
        <f>E16*D16*0.001</f>
        <v>0</v>
      </c>
      <c r="H16" s="729"/>
      <c r="I16" s="678"/>
      <c r="J16" s="730"/>
    </row>
    <row r="17" spans="2:10" x14ac:dyDescent="0.25">
      <c r="B17" s="311">
        <f>'III. INPUT-Baseline'!B193</f>
        <v>0</v>
      </c>
      <c r="C17" s="212">
        <f>'III. INPUT-Baseline'!C193</f>
        <v>0</v>
      </c>
      <c r="D17" s="212">
        <f>'III. INPUT-Baseline'!D193</f>
        <v>0</v>
      </c>
      <c r="E17" s="212">
        <f>'III. INPUT-Baseline'!E193</f>
        <v>0</v>
      </c>
      <c r="F17" s="301">
        <f t="shared" ref="F17:F24" si="0">E17*D17*0.001</f>
        <v>0</v>
      </c>
      <c r="H17" s="729"/>
      <c r="I17" s="678"/>
      <c r="J17" s="730"/>
    </row>
    <row r="18" spans="2:10" x14ac:dyDescent="0.25">
      <c r="B18" s="311">
        <f>'III. INPUT-Baseline'!B194</f>
        <v>0</v>
      </c>
      <c r="C18" s="212">
        <f>'III. INPUT-Baseline'!C194</f>
        <v>0</v>
      </c>
      <c r="D18" s="212">
        <f>'III. INPUT-Baseline'!D194</f>
        <v>0</v>
      </c>
      <c r="E18" s="212">
        <f>'III. INPUT-Baseline'!E194</f>
        <v>0</v>
      </c>
      <c r="F18" s="301">
        <f t="shared" si="0"/>
        <v>0</v>
      </c>
      <c r="H18" s="729"/>
      <c r="I18" s="678"/>
      <c r="J18" s="730"/>
    </row>
    <row r="19" spans="2:10" x14ac:dyDescent="0.25">
      <c r="B19" s="311">
        <f>'III. INPUT-Baseline'!B195</f>
        <v>0</v>
      </c>
      <c r="C19" s="212">
        <f>'III. INPUT-Baseline'!C195</f>
        <v>0</v>
      </c>
      <c r="D19" s="212">
        <f>'III. INPUT-Baseline'!D195</f>
        <v>0</v>
      </c>
      <c r="E19" s="212">
        <f>'III. INPUT-Baseline'!E195</f>
        <v>0</v>
      </c>
      <c r="F19" s="301">
        <f t="shared" si="0"/>
        <v>0</v>
      </c>
      <c r="H19" s="729"/>
      <c r="I19" s="678"/>
      <c r="J19" s="730"/>
    </row>
    <row r="20" spans="2:10" x14ac:dyDescent="0.25">
      <c r="B20" s="311">
        <f>'III. INPUT-Baseline'!B197</f>
        <v>0</v>
      </c>
      <c r="C20" s="212">
        <f>'III. INPUT-Baseline'!C197</f>
        <v>0</v>
      </c>
      <c r="D20" s="212">
        <f>'III. INPUT-Baseline'!D197</f>
        <v>0</v>
      </c>
      <c r="E20" s="212">
        <f>'III. INPUT-Baseline'!E197</f>
        <v>0</v>
      </c>
      <c r="F20" s="301">
        <f t="shared" si="0"/>
        <v>0</v>
      </c>
      <c r="H20" s="729"/>
      <c r="I20" s="678"/>
      <c r="J20" s="730"/>
    </row>
    <row r="21" spans="2:10" x14ac:dyDescent="0.25">
      <c r="B21" s="311">
        <f>'III. INPUT-Baseline'!B198</f>
        <v>0</v>
      </c>
      <c r="C21" s="212">
        <f>'III. INPUT-Baseline'!C198</f>
        <v>0</v>
      </c>
      <c r="D21" s="212">
        <f>'III. INPUT-Baseline'!D198</f>
        <v>0</v>
      </c>
      <c r="E21" s="212">
        <f>'III. INPUT-Baseline'!E198</f>
        <v>0</v>
      </c>
      <c r="F21" s="301">
        <f t="shared" si="0"/>
        <v>0</v>
      </c>
      <c r="H21" s="729"/>
      <c r="I21" s="678"/>
      <c r="J21" s="730"/>
    </row>
    <row r="22" spans="2:10" x14ac:dyDescent="0.25">
      <c r="B22" s="311">
        <f>'III. INPUT-Baseline'!B199</f>
        <v>0</v>
      </c>
      <c r="C22" s="212">
        <f>'III. INPUT-Baseline'!C199</f>
        <v>0</v>
      </c>
      <c r="D22" s="212">
        <f>'III. INPUT-Baseline'!D199</f>
        <v>0</v>
      </c>
      <c r="E22" s="212">
        <f>'III. INPUT-Baseline'!E199</f>
        <v>0</v>
      </c>
      <c r="F22" s="301">
        <f t="shared" si="0"/>
        <v>0</v>
      </c>
      <c r="H22" s="729"/>
      <c r="I22" s="678"/>
      <c r="J22" s="730"/>
    </row>
    <row r="23" spans="2:10" x14ac:dyDescent="0.25">
      <c r="B23" s="311">
        <f>'III. INPUT-Baseline'!B200</f>
        <v>0</v>
      </c>
      <c r="C23" s="212">
        <f>'III. INPUT-Baseline'!C200</f>
        <v>0</v>
      </c>
      <c r="D23" s="212">
        <f>'III. INPUT-Baseline'!D200</f>
        <v>0</v>
      </c>
      <c r="E23" s="212">
        <f>'III. INPUT-Baseline'!E200</f>
        <v>0</v>
      </c>
      <c r="F23" s="301">
        <f t="shared" si="0"/>
        <v>0</v>
      </c>
      <c r="H23" s="729"/>
      <c r="I23" s="678"/>
      <c r="J23" s="730"/>
    </row>
    <row r="24" spans="2:10" ht="13" thickBot="1" x14ac:dyDescent="0.3">
      <c r="B24" s="288">
        <f>'III. INPUT-Baseline'!B201</f>
        <v>0</v>
      </c>
      <c r="C24" s="213">
        <f>'III. INPUT-Baseline'!C201</f>
        <v>0</v>
      </c>
      <c r="D24" s="213">
        <f>'III. INPUT-Baseline'!D201</f>
        <v>0</v>
      </c>
      <c r="E24" s="213">
        <f>'III. INPUT-Baseline'!E201</f>
        <v>0</v>
      </c>
      <c r="F24" s="302">
        <f t="shared" si="0"/>
        <v>0</v>
      </c>
      <c r="H24" s="729"/>
      <c r="I24" s="678"/>
      <c r="J24" s="730"/>
    </row>
    <row r="25" spans="2:10" ht="15.5" thickBot="1" x14ac:dyDescent="0.45">
      <c r="B25" s="164" t="s">
        <v>540</v>
      </c>
      <c r="C25" s="155"/>
      <c r="D25" s="155"/>
      <c r="E25" s="287"/>
      <c r="F25" s="303">
        <f>SUM(F16:F24)</f>
        <v>0</v>
      </c>
      <c r="H25" s="729"/>
      <c r="I25" s="678"/>
      <c r="J25" s="730"/>
    </row>
    <row r="26" spans="2:10" x14ac:dyDescent="0.25">
      <c r="H26" s="729"/>
      <c r="I26" s="678"/>
      <c r="J26" s="730"/>
    </row>
    <row r="27" spans="2:10" ht="13.5" thickBot="1" x14ac:dyDescent="0.35">
      <c r="B27" s="700" t="s">
        <v>541</v>
      </c>
      <c r="C27" s="701"/>
      <c r="D27" s="701"/>
      <c r="E27" s="701"/>
      <c r="H27" s="729"/>
      <c r="I27" s="678"/>
      <c r="J27" s="730"/>
    </row>
    <row r="28" spans="2:10" ht="15" x14ac:dyDescent="0.4">
      <c r="B28" s="165" t="s">
        <v>308</v>
      </c>
      <c r="C28" s="166" t="s">
        <v>537</v>
      </c>
      <c r="D28" s="166" t="s">
        <v>309</v>
      </c>
      <c r="E28" s="166" t="s">
        <v>310</v>
      </c>
      <c r="F28" s="40" t="s">
        <v>539</v>
      </c>
      <c r="H28" s="729"/>
      <c r="I28" s="678"/>
      <c r="J28" s="730"/>
    </row>
    <row r="29" spans="2:10" x14ac:dyDescent="0.25">
      <c r="B29" s="311">
        <f>'III. INPUT-Baseline'!B206</f>
        <v>0</v>
      </c>
      <c r="C29" s="212">
        <f>'III. INPUT-Baseline'!C206</f>
        <v>0</v>
      </c>
      <c r="D29" s="212">
        <f>'III. INPUT-Baseline'!D206</f>
        <v>0</v>
      </c>
      <c r="E29" s="212">
        <f>'III. INPUT-Baseline'!E206</f>
        <v>0</v>
      </c>
      <c r="F29" s="301">
        <f>E29*D29*0.001</f>
        <v>0</v>
      </c>
      <c r="H29" s="729"/>
      <c r="I29" s="678"/>
      <c r="J29" s="730"/>
    </row>
    <row r="30" spans="2:10" x14ac:dyDescent="0.25">
      <c r="B30" s="311">
        <f>'III. INPUT-Baseline'!B207</f>
        <v>0</v>
      </c>
      <c r="C30" s="212">
        <f>'III. INPUT-Baseline'!C207</f>
        <v>0</v>
      </c>
      <c r="D30" s="212">
        <f>'III. INPUT-Baseline'!D207</f>
        <v>0</v>
      </c>
      <c r="E30" s="212">
        <f>'III. INPUT-Baseline'!E207</f>
        <v>0</v>
      </c>
      <c r="F30" s="301">
        <f t="shared" ref="F30:F37" si="1">E30*D30*0.001</f>
        <v>0</v>
      </c>
      <c r="H30" s="729"/>
      <c r="I30" s="678"/>
      <c r="J30" s="730"/>
    </row>
    <row r="31" spans="2:10" x14ac:dyDescent="0.25">
      <c r="B31" s="311">
        <f>'III. INPUT-Baseline'!B208</f>
        <v>0</v>
      </c>
      <c r="C31" s="212">
        <f>'III. INPUT-Baseline'!C208</f>
        <v>0</v>
      </c>
      <c r="D31" s="212">
        <f>'III. INPUT-Baseline'!D208</f>
        <v>0</v>
      </c>
      <c r="E31" s="212">
        <f>'III. INPUT-Baseline'!E208</f>
        <v>0</v>
      </c>
      <c r="F31" s="301">
        <f t="shared" si="1"/>
        <v>0</v>
      </c>
      <c r="H31" s="729"/>
      <c r="I31" s="678"/>
      <c r="J31" s="730"/>
    </row>
    <row r="32" spans="2:10" x14ac:dyDescent="0.25">
      <c r="B32" s="311">
        <f>'III. INPUT-Baseline'!B209</f>
        <v>0</v>
      </c>
      <c r="C32" s="212">
        <f>'III. INPUT-Baseline'!C209</f>
        <v>0</v>
      </c>
      <c r="D32" s="212">
        <f>'III. INPUT-Baseline'!D209</f>
        <v>0</v>
      </c>
      <c r="E32" s="212">
        <f>'III. INPUT-Baseline'!E209</f>
        <v>0</v>
      </c>
      <c r="F32" s="301">
        <f t="shared" si="1"/>
        <v>0</v>
      </c>
      <c r="H32" s="729"/>
      <c r="I32" s="678"/>
      <c r="J32" s="730"/>
    </row>
    <row r="33" spans="2:13" x14ac:dyDescent="0.25">
      <c r="B33" s="311">
        <f>'III. INPUT-Baseline'!B211</f>
        <v>0</v>
      </c>
      <c r="C33" s="212">
        <f>'III. INPUT-Baseline'!C211</f>
        <v>0</v>
      </c>
      <c r="D33" s="212">
        <f>'III. INPUT-Baseline'!D211</f>
        <v>0</v>
      </c>
      <c r="E33" s="212">
        <f>'III. INPUT-Baseline'!E211</f>
        <v>0</v>
      </c>
      <c r="F33" s="301">
        <f t="shared" si="1"/>
        <v>0</v>
      </c>
      <c r="H33" s="729"/>
      <c r="I33" s="678"/>
      <c r="J33" s="730"/>
    </row>
    <row r="34" spans="2:13" x14ac:dyDescent="0.25">
      <c r="B34" s="311">
        <f>'III. INPUT-Baseline'!B212</f>
        <v>0</v>
      </c>
      <c r="C34" s="212">
        <f>'III. INPUT-Baseline'!C212</f>
        <v>0</v>
      </c>
      <c r="D34" s="212">
        <f>'III. INPUT-Baseline'!D212</f>
        <v>0</v>
      </c>
      <c r="E34" s="212">
        <f>'III. INPUT-Baseline'!E212</f>
        <v>0</v>
      </c>
      <c r="F34" s="301">
        <f t="shared" si="1"/>
        <v>0</v>
      </c>
      <c r="H34" s="729"/>
      <c r="I34" s="678"/>
      <c r="J34" s="730"/>
    </row>
    <row r="35" spans="2:13" ht="13" thickBot="1" x14ac:dyDescent="0.3">
      <c r="B35" s="311">
        <f>'III. INPUT-Baseline'!B213</f>
        <v>0</v>
      </c>
      <c r="C35" s="212">
        <f>'III. INPUT-Baseline'!C213</f>
        <v>0</v>
      </c>
      <c r="D35" s="212">
        <f>'III. INPUT-Baseline'!D213</f>
        <v>0</v>
      </c>
      <c r="E35" s="212">
        <f>'III. INPUT-Baseline'!E213</f>
        <v>0</v>
      </c>
      <c r="F35" s="301">
        <f t="shared" si="1"/>
        <v>0</v>
      </c>
      <c r="H35" s="731"/>
      <c r="I35" s="732"/>
      <c r="J35" s="733"/>
    </row>
    <row r="36" spans="2:13" x14ac:dyDescent="0.25">
      <c r="B36" s="311">
        <f>'III. INPUT-Baseline'!B214</f>
        <v>0</v>
      </c>
      <c r="C36" s="212">
        <f>'III. INPUT-Baseline'!C214</f>
        <v>0</v>
      </c>
      <c r="D36" s="212">
        <f>'III. INPUT-Baseline'!D214</f>
        <v>0</v>
      </c>
      <c r="E36" s="212">
        <f>'III. INPUT-Baseline'!E214</f>
        <v>0</v>
      </c>
      <c r="F36" s="301">
        <f t="shared" si="1"/>
        <v>0</v>
      </c>
    </row>
    <row r="37" spans="2:13" ht="13" thickBot="1" x14ac:dyDescent="0.3">
      <c r="B37" s="288">
        <f>'III. INPUT-Baseline'!B215</f>
        <v>0</v>
      </c>
      <c r="C37" s="213">
        <f>'III. INPUT-Baseline'!C215</f>
        <v>0</v>
      </c>
      <c r="D37" s="213">
        <f>'III. INPUT-Baseline'!D215</f>
        <v>0</v>
      </c>
      <c r="E37" s="213">
        <f>'III. INPUT-Baseline'!E215</f>
        <v>0</v>
      </c>
      <c r="F37" s="302">
        <f t="shared" si="1"/>
        <v>0</v>
      </c>
    </row>
    <row r="38" spans="2:13" ht="15.5" thickBot="1" x14ac:dyDescent="0.45">
      <c r="B38" s="164" t="s">
        <v>542</v>
      </c>
      <c r="C38" s="155"/>
      <c r="D38" s="155"/>
      <c r="E38" s="287"/>
      <c r="F38" s="303">
        <f>SUM(F29:F37)</f>
        <v>0</v>
      </c>
    </row>
    <row r="39" spans="2:13" ht="13" x14ac:dyDescent="0.3">
      <c r="B39" s="3"/>
      <c r="F39" s="121"/>
    </row>
    <row r="40" spans="2:13" ht="13.5" thickBot="1" x14ac:dyDescent="0.35">
      <c r="B40" s="702" t="s">
        <v>543</v>
      </c>
      <c r="C40" s="702"/>
      <c r="D40" s="702"/>
      <c r="E40" s="702"/>
      <c r="F40" s="121"/>
      <c r="G40" s="49"/>
      <c r="H40" s="49"/>
      <c r="I40" s="49"/>
      <c r="J40" s="49"/>
      <c r="K40" s="49"/>
      <c r="L40" s="49"/>
      <c r="M40" s="49"/>
    </row>
    <row r="41" spans="2:13" ht="15" x14ac:dyDescent="0.4">
      <c r="B41" s="45" t="s">
        <v>315</v>
      </c>
      <c r="C41" s="63" t="s">
        <v>316</v>
      </c>
      <c r="D41" s="63" t="s">
        <v>317</v>
      </c>
      <c r="E41" s="63" t="s">
        <v>409</v>
      </c>
      <c r="F41" s="304" t="s">
        <v>539</v>
      </c>
      <c r="G41" s="49"/>
      <c r="H41" s="49"/>
      <c r="I41" s="49"/>
      <c r="J41" s="49"/>
      <c r="K41" s="49"/>
      <c r="L41" s="49"/>
      <c r="M41" s="49"/>
    </row>
    <row r="42" spans="2:13" ht="13" thickBot="1" x14ac:dyDescent="0.3">
      <c r="B42" s="288">
        <f>'III. INPUT-Baseline'!B221</f>
        <v>0</v>
      </c>
      <c r="C42" s="213" t="str">
        <f>'III. INPUT-Baseline'!C221</f>
        <v>9th</v>
      </c>
      <c r="D42" s="289">
        <f>'III. INPUT-Baseline'!D221</f>
        <v>0</v>
      </c>
      <c r="E42" s="289">
        <f>'III. INPUT-Baseline'!E221</f>
        <v>0</v>
      </c>
      <c r="F42" s="302">
        <f>E42*D42*0.00045359237</f>
        <v>0</v>
      </c>
      <c r="G42" s="49"/>
      <c r="H42" s="49"/>
      <c r="I42" s="49"/>
      <c r="J42" s="49"/>
      <c r="K42" s="49"/>
      <c r="L42" s="49"/>
      <c r="M42" s="49"/>
    </row>
    <row r="43" spans="2:13" ht="13.5" thickBot="1" x14ac:dyDescent="0.3">
      <c r="B43" s="49"/>
      <c r="C43" s="49"/>
      <c r="D43" s="49"/>
      <c r="E43" s="49"/>
      <c r="F43" s="305">
        <f>F42</f>
        <v>0</v>
      </c>
      <c r="G43" s="49"/>
      <c r="H43" s="49"/>
      <c r="I43" s="49"/>
      <c r="J43" s="49"/>
      <c r="K43" s="49"/>
      <c r="L43" s="49"/>
      <c r="M43" s="49"/>
    </row>
    <row r="44" spans="2:13" ht="13.5" thickBot="1" x14ac:dyDescent="0.35">
      <c r="B44" s="3"/>
    </row>
    <row r="45" spans="2:13" ht="13.5" thickBot="1" x14ac:dyDescent="0.35">
      <c r="B45" s="164" t="s">
        <v>544</v>
      </c>
      <c r="C45" s="155"/>
      <c r="D45" s="155"/>
      <c r="E45" s="287"/>
      <c r="F45" s="306">
        <f>F25+F38+(F43*C86)</f>
        <v>0</v>
      </c>
      <c r="G45" s="3"/>
    </row>
    <row r="47" spans="2:13" ht="15.5" x14ac:dyDescent="0.35">
      <c r="B47" s="206" t="s">
        <v>545</v>
      </c>
    </row>
    <row r="48" spans="2:13" ht="13" x14ac:dyDescent="0.3">
      <c r="B48" s="14"/>
    </row>
    <row r="49" spans="2:10" ht="13.5" thickBot="1" x14ac:dyDescent="0.35">
      <c r="B49" s="700" t="s">
        <v>546</v>
      </c>
      <c r="C49" s="701"/>
      <c r="D49" s="701"/>
      <c r="E49" s="701"/>
    </row>
    <row r="50" spans="2:10" ht="15" x14ac:dyDescent="0.4">
      <c r="B50" s="165" t="s">
        <v>294</v>
      </c>
      <c r="C50" s="166" t="s">
        <v>537</v>
      </c>
      <c r="D50" s="166" t="s">
        <v>296</v>
      </c>
      <c r="E50" s="166" t="s">
        <v>538</v>
      </c>
      <c r="F50" s="40" t="s">
        <v>539</v>
      </c>
      <c r="H50" s="726" t="s">
        <v>241</v>
      </c>
      <c r="I50" s="727"/>
      <c r="J50" s="728"/>
    </row>
    <row r="51" spans="2:10" x14ac:dyDescent="0.25">
      <c r="B51" s="311">
        <f>'IV. INPUT-Project'!B175</f>
        <v>0</v>
      </c>
      <c r="C51" s="212">
        <f>'IV. INPUT-Project'!C175</f>
        <v>0</v>
      </c>
      <c r="D51" s="212">
        <f>'IV. INPUT-Project'!D175</f>
        <v>0</v>
      </c>
      <c r="E51" s="212">
        <f>'IV. INPUT-Project'!E175</f>
        <v>0</v>
      </c>
      <c r="F51" s="301">
        <f t="shared" ref="F51:F59" si="2">E51*D51*0.001</f>
        <v>0</v>
      </c>
      <c r="H51" s="729"/>
      <c r="I51" s="678"/>
      <c r="J51" s="730"/>
    </row>
    <row r="52" spans="2:10" x14ac:dyDescent="0.25">
      <c r="B52" s="311">
        <f>'IV. INPUT-Project'!B176</f>
        <v>0</v>
      </c>
      <c r="C52" s="212">
        <f>'IV. INPUT-Project'!C176</f>
        <v>0</v>
      </c>
      <c r="D52" s="212">
        <f>'IV. INPUT-Project'!D176</f>
        <v>0</v>
      </c>
      <c r="E52" s="212">
        <f>'IV. INPUT-Project'!E176</f>
        <v>0</v>
      </c>
      <c r="F52" s="301">
        <f t="shared" si="2"/>
        <v>0</v>
      </c>
      <c r="H52" s="729"/>
      <c r="I52" s="678"/>
      <c r="J52" s="730"/>
    </row>
    <row r="53" spans="2:10" x14ac:dyDescent="0.25">
      <c r="B53" s="311">
        <f>'IV. INPUT-Project'!B177</f>
        <v>0</v>
      </c>
      <c r="C53" s="212">
        <f>'IV. INPUT-Project'!C177</f>
        <v>0</v>
      </c>
      <c r="D53" s="212">
        <f>'IV. INPUT-Project'!D177</f>
        <v>0</v>
      </c>
      <c r="E53" s="212">
        <f>'IV. INPUT-Project'!E177</f>
        <v>0</v>
      </c>
      <c r="F53" s="301">
        <f t="shared" si="2"/>
        <v>0</v>
      </c>
      <c r="H53" s="729"/>
      <c r="I53" s="678"/>
      <c r="J53" s="730"/>
    </row>
    <row r="54" spans="2:10" x14ac:dyDescent="0.25">
      <c r="B54" s="311">
        <f>'IV. INPUT-Project'!B178</f>
        <v>0</v>
      </c>
      <c r="C54" s="212">
        <f>'IV. INPUT-Project'!C178</f>
        <v>0</v>
      </c>
      <c r="D54" s="212">
        <f>'IV. INPUT-Project'!D178</f>
        <v>0</v>
      </c>
      <c r="E54" s="212">
        <f>'IV. INPUT-Project'!E178</f>
        <v>0</v>
      </c>
      <c r="F54" s="301">
        <f t="shared" si="2"/>
        <v>0</v>
      </c>
      <c r="H54" s="729"/>
      <c r="I54" s="678"/>
      <c r="J54" s="730"/>
    </row>
    <row r="55" spans="2:10" x14ac:dyDescent="0.25">
      <c r="B55" s="311">
        <f>'IV. INPUT-Project'!B180</f>
        <v>0</v>
      </c>
      <c r="C55" s="212">
        <f>'IV. INPUT-Project'!C180</f>
        <v>0</v>
      </c>
      <c r="D55" s="212">
        <f>'IV. INPUT-Project'!D180</f>
        <v>0</v>
      </c>
      <c r="E55" s="212">
        <f>'IV. INPUT-Project'!E180</f>
        <v>0</v>
      </c>
      <c r="F55" s="301">
        <f t="shared" si="2"/>
        <v>0</v>
      </c>
      <c r="H55" s="729"/>
      <c r="I55" s="678"/>
      <c r="J55" s="730"/>
    </row>
    <row r="56" spans="2:10" x14ac:dyDescent="0.25">
      <c r="B56" s="311">
        <f>'IV. INPUT-Project'!B181</f>
        <v>0</v>
      </c>
      <c r="C56" s="212">
        <f>'IV. INPUT-Project'!C181</f>
        <v>0</v>
      </c>
      <c r="D56" s="212">
        <f>'IV. INPUT-Project'!D181</f>
        <v>0</v>
      </c>
      <c r="E56" s="212">
        <f>'IV. INPUT-Project'!E181</f>
        <v>0</v>
      </c>
      <c r="F56" s="301">
        <f t="shared" si="2"/>
        <v>0</v>
      </c>
      <c r="H56" s="729"/>
      <c r="I56" s="678"/>
      <c r="J56" s="730"/>
    </row>
    <row r="57" spans="2:10" x14ac:dyDescent="0.25">
      <c r="B57" s="311">
        <f>'IV. INPUT-Project'!B182</f>
        <v>0</v>
      </c>
      <c r="C57" s="212">
        <f>'IV. INPUT-Project'!C182</f>
        <v>0</v>
      </c>
      <c r="D57" s="212">
        <f>'IV. INPUT-Project'!D182</f>
        <v>0</v>
      </c>
      <c r="E57" s="212">
        <f>'IV. INPUT-Project'!E182</f>
        <v>0</v>
      </c>
      <c r="F57" s="301">
        <f t="shared" si="2"/>
        <v>0</v>
      </c>
      <c r="H57" s="729"/>
      <c r="I57" s="678"/>
      <c r="J57" s="730"/>
    </row>
    <row r="58" spans="2:10" x14ac:dyDescent="0.25">
      <c r="B58" s="311">
        <f>'IV. INPUT-Project'!B183</f>
        <v>0</v>
      </c>
      <c r="C58" s="212">
        <f>'IV. INPUT-Project'!C183</f>
        <v>0</v>
      </c>
      <c r="D58" s="212">
        <f>'IV. INPUT-Project'!D183</f>
        <v>0</v>
      </c>
      <c r="E58" s="212">
        <f>'IV. INPUT-Project'!E183</f>
        <v>0</v>
      </c>
      <c r="F58" s="301">
        <f t="shared" si="2"/>
        <v>0</v>
      </c>
      <c r="H58" s="729"/>
      <c r="I58" s="678"/>
      <c r="J58" s="730"/>
    </row>
    <row r="59" spans="2:10" ht="13" thickBot="1" x14ac:dyDescent="0.3">
      <c r="B59" s="288">
        <f>'IV. INPUT-Project'!B184</f>
        <v>0</v>
      </c>
      <c r="C59" s="213">
        <f>'IV. INPUT-Project'!C184</f>
        <v>0</v>
      </c>
      <c r="D59" s="213">
        <f>'IV. INPUT-Project'!D184</f>
        <v>0</v>
      </c>
      <c r="E59" s="213">
        <f>'IV. INPUT-Project'!E184</f>
        <v>0</v>
      </c>
      <c r="F59" s="302">
        <f t="shared" si="2"/>
        <v>0</v>
      </c>
      <c r="H59" s="729"/>
      <c r="I59" s="678"/>
      <c r="J59" s="730"/>
    </row>
    <row r="60" spans="2:10" ht="15.5" thickBot="1" x14ac:dyDescent="0.45">
      <c r="B60" s="164" t="s">
        <v>547</v>
      </c>
      <c r="C60" s="155"/>
      <c r="D60" s="155"/>
      <c r="E60" s="287"/>
      <c r="F60" s="303">
        <f>SUM(F51:F59)</f>
        <v>0</v>
      </c>
      <c r="H60" s="729"/>
      <c r="I60" s="678"/>
      <c r="J60" s="730"/>
    </row>
    <row r="61" spans="2:10" x14ac:dyDescent="0.25">
      <c r="H61" s="729"/>
      <c r="I61" s="678"/>
      <c r="J61" s="730"/>
    </row>
    <row r="62" spans="2:10" ht="13.5" thickBot="1" x14ac:dyDescent="0.35">
      <c r="B62" s="700" t="s">
        <v>548</v>
      </c>
      <c r="C62" s="701"/>
      <c r="D62" s="701"/>
      <c r="E62" s="701"/>
      <c r="H62" s="729"/>
      <c r="I62" s="678"/>
      <c r="J62" s="730"/>
    </row>
    <row r="63" spans="2:10" ht="15.5" thickBot="1" x14ac:dyDescent="0.45">
      <c r="B63" s="161" t="s">
        <v>308</v>
      </c>
      <c r="C63" s="175" t="s">
        <v>537</v>
      </c>
      <c r="D63" s="175" t="s">
        <v>309</v>
      </c>
      <c r="E63" s="175" t="s">
        <v>310</v>
      </c>
      <c r="F63" s="300" t="s">
        <v>539</v>
      </c>
      <c r="H63" s="729"/>
      <c r="I63" s="678"/>
      <c r="J63" s="730"/>
    </row>
    <row r="64" spans="2:10" ht="13" thickTop="1" x14ac:dyDescent="0.25">
      <c r="B64" s="314">
        <f>'IV. INPUT-Project'!B189</f>
        <v>0</v>
      </c>
      <c r="C64" s="315">
        <f>'IV. INPUT-Project'!C189</f>
        <v>0</v>
      </c>
      <c r="D64" s="315">
        <f>'IV. INPUT-Project'!D189</f>
        <v>0</v>
      </c>
      <c r="E64" s="315">
        <f>'IV. INPUT-Project'!E189</f>
        <v>0</v>
      </c>
      <c r="F64" s="307">
        <f t="shared" ref="F64:F72" si="3">E64*D64*0.001</f>
        <v>0</v>
      </c>
      <c r="H64" s="729"/>
      <c r="I64" s="678"/>
      <c r="J64" s="730"/>
    </row>
    <row r="65" spans="2:13" x14ac:dyDescent="0.25">
      <c r="B65" s="312">
        <f>'IV. INPUT-Project'!B190</f>
        <v>0</v>
      </c>
      <c r="C65" s="215">
        <f>'IV. INPUT-Project'!C190</f>
        <v>0</v>
      </c>
      <c r="D65" s="215">
        <f>'IV. INPUT-Project'!D190</f>
        <v>0</v>
      </c>
      <c r="E65" s="215">
        <f>'IV. INPUT-Project'!E190</f>
        <v>0</v>
      </c>
      <c r="F65" s="308">
        <f t="shared" si="3"/>
        <v>0</v>
      </c>
      <c r="H65" s="729"/>
      <c r="I65" s="678"/>
      <c r="J65" s="730"/>
    </row>
    <row r="66" spans="2:13" x14ac:dyDescent="0.25">
      <c r="B66" s="312">
        <f>'IV. INPUT-Project'!B191</f>
        <v>0</v>
      </c>
      <c r="C66" s="215">
        <f>'IV. INPUT-Project'!C191</f>
        <v>0</v>
      </c>
      <c r="D66" s="215">
        <f>'IV. INPUT-Project'!D191</f>
        <v>0</v>
      </c>
      <c r="E66" s="215">
        <f>'IV. INPUT-Project'!E191</f>
        <v>0</v>
      </c>
      <c r="F66" s="308">
        <f t="shared" si="3"/>
        <v>0</v>
      </c>
      <c r="H66" s="729"/>
      <c r="I66" s="678"/>
      <c r="J66" s="730"/>
    </row>
    <row r="67" spans="2:13" x14ac:dyDescent="0.25">
      <c r="B67" s="312">
        <f>'IV. INPUT-Project'!B192</f>
        <v>0</v>
      </c>
      <c r="C67" s="215">
        <f>'IV. INPUT-Project'!C192</f>
        <v>0</v>
      </c>
      <c r="D67" s="215">
        <f>'IV. INPUT-Project'!D192</f>
        <v>0</v>
      </c>
      <c r="E67" s="215">
        <f>'IV. INPUT-Project'!E192</f>
        <v>0</v>
      </c>
      <c r="F67" s="308">
        <f t="shared" si="3"/>
        <v>0</v>
      </c>
      <c r="H67" s="729"/>
      <c r="I67" s="678"/>
      <c r="J67" s="730"/>
    </row>
    <row r="68" spans="2:13" x14ac:dyDescent="0.25">
      <c r="B68" s="312">
        <f>'IV. INPUT-Project'!B194</f>
        <v>0</v>
      </c>
      <c r="C68" s="215">
        <f>'IV. INPUT-Project'!C194</f>
        <v>0</v>
      </c>
      <c r="D68" s="215">
        <f>'IV. INPUT-Project'!D194</f>
        <v>0</v>
      </c>
      <c r="E68" s="215">
        <f>'IV. INPUT-Project'!E194</f>
        <v>0</v>
      </c>
      <c r="F68" s="308">
        <f t="shared" si="3"/>
        <v>0</v>
      </c>
      <c r="H68" s="729"/>
      <c r="I68" s="678"/>
      <c r="J68" s="730"/>
    </row>
    <row r="69" spans="2:13" x14ac:dyDescent="0.25">
      <c r="B69" s="312">
        <f>'IV. INPUT-Project'!B195</f>
        <v>0</v>
      </c>
      <c r="C69" s="215">
        <f>'IV. INPUT-Project'!C195</f>
        <v>0</v>
      </c>
      <c r="D69" s="215">
        <f>'IV. INPUT-Project'!D195</f>
        <v>0</v>
      </c>
      <c r="E69" s="215">
        <f>'IV. INPUT-Project'!E195</f>
        <v>0</v>
      </c>
      <c r="F69" s="308">
        <f t="shared" si="3"/>
        <v>0</v>
      </c>
      <c r="H69" s="729"/>
      <c r="I69" s="678"/>
      <c r="J69" s="730"/>
    </row>
    <row r="70" spans="2:13" ht="13" thickBot="1" x14ac:dyDescent="0.3">
      <c r="B70" s="312">
        <f>'IV. INPUT-Project'!B196</f>
        <v>0</v>
      </c>
      <c r="C70" s="215">
        <f>'IV. INPUT-Project'!C196</f>
        <v>0</v>
      </c>
      <c r="D70" s="215">
        <f>'IV. INPUT-Project'!D196</f>
        <v>0</v>
      </c>
      <c r="E70" s="215">
        <f>'IV. INPUT-Project'!E196</f>
        <v>0</v>
      </c>
      <c r="F70" s="308">
        <f t="shared" si="3"/>
        <v>0</v>
      </c>
      <c r="H70" s="731"/>
      <c r="I70" s="732"/>
      <c r="J70" s="733"/>
    </row>
    <row r="71" spans="2:13" x14ac:dyDescent="0.25">
      <c r="B71" s="312">
        <f>'IV. INPUT-Project'!B197</f>
        <v>0</v>
      </c>
      <c r="C71" s="215">
        <f>'IV. INPUT-Project'!C197</f>
        <v>0</v>
      </c>
      <c r="D71" s="215">
        <f>'IV. INPUT-Project'!D197</f>
        <v>0</v>
      </c>
      <c r="E71" s="215">
        <f>'IV. INPUT-Project'!E197</f>
        <v>0</v>
      </c>
      <c r="F71" s="308">
        <f t="shared" si="3"/>
        <v>0</v>
      </c>
    </row>
    <row r="72" spans="2:13" ht="13" thickBot="1" x14ac:dyDescent="0.3">
      <c r="B72" s="313">
        <f>'IV. INPUT-Project'!B198</f>
        <v>0</v>
      </c>
      <c r="C72" s="316">
        <f>'IV. INPUT-Project'!C198</f>
        <v>0</v>
      </c>
      <c r="D72" s="316">
        <f>'IV. INPUT-Project'!D198</f>
        <v>0</v>
      </c>
      <c r="E72" s="316">
        <f>'IV. INPUT-Project'!E198</f>
        <v>0</v>
      </c>
      <c r="F72" s="309">
        <f t="shared" si="3"/>
        <v>0</v>
      </c>
    </row>
    <row r="73" spans="2:13" ht="15.5" thickBot="1" x14ac:dyDescent="0.45">
      <c r="B73" s="164" t="s">
        <v>549</v>
      </c>
      <c r="C73" s="155"/>
      <c r="D73" s="155"/>
      <c r="E73" s="287"/>
      <c r="F73" s="303">
        <f>SUM(F64:F72)</f>
        <v>0</v>
      </c>
    </row>
    <row r="74" spans="2:13" ht="13" x14ac:dyDescent="0.3">
      <c r="B74" s="3"/>
      <c r="F74" s="121"/>
    </row>
    <row r="75" spans="2:13" ht="13.5" thickBot="1" x14ac:dyDescent="0.35">
      <c r="B75" s="702" t="s">
        <v>550</v>
      </c>
      <c r="C75" s="702"/>
      <c r="D75" s="702"/>
      <c r="E75" s="702"/>
      <c r="F75" s="121"/>
      <c r="G75" s="49"/>
      <c r="H75" s="49"/>
      <c r="I75" s="49"/>
      <c r="J75" s="49"/>
      <c r="K75" s="49"/>
      <c r="L75" s="49"/>
      <c r="M75" s="49"/>
    </row>
    <row r="76" spans="2:13" ht="15" x14ac:dyDescent="0.4">
      <c r="B76" s="45" t="s">
        <v>315</v>
      </c>
      <c r="C76" s="63" t="s">
        <v>316</v>
      </c>
      <c r="D76" s="63" t="s">
        <v>317</v>
      </c>
      <c r="E76" s="63" t="s">
        <v>409</v>
      </c>
      <c r="F76" s="304" t="s">
        <v>539</v>
      </c>
      <c r="G76" s="49"/>
      <c r="H76" s="49"/>
      <c r="I76" s="49"/>
      <c r="J76" s="49"/>
      <c r="K76" s="49"/>
      <c r="L76" s="49"/>
      <c r="M76" s="49"/>
    </row>
    <row r="77" spans="2:13" ht="13" thickBot="1" x14ac:dyDescent="0.3">
      <c r="B77" s="288">
        <f>'IV. INPUT-Project'!B203</f>
        <v>0</v>
      </c>
      <c r="C77" s="213">
        <f>'IV. INPUT-Project'!C203</f>
        <v>2007</v>
      </c>
      <c r="D77" s="289">
        <f>'IV. INPUT-Project'!D203</f>
        <v>0</v>
      </c>
      <c r="E77" s="289">
        <f>'IV. INPUT-Project'!E203</f>
        <v>0</v>
      </c>
      <c r="F77" s="302">
        <f>E77*D77*0.00045359237</f>
        <v>0</v>
      </c>
      <c r="G77" s="49"/>
      <c r="H77" s="49"/>
      <c r="I77" s="49"/>
      <c r="J77" s="49"/>
      <c r="K77" s="49"/>
      <c r="L77" s="49"/>
      <c r="M77" s="49"/>
    </row>
    <row r="78" spans="2:13" ht="13.5" thickBot="1" x14ac:dyDescent="0.3">
      <c r="B78" s="49"/>
      <c r="C78" s="49"/>
      <c r="D78" s="49"/>
      <c r="E78" s="49"/>
      <c r="F78" s="310">
        <f>F77</f>
        <v>0</v>
      </c>
      <c r="G78" s="49"/>
      <c r="H78" s="49"/>
      <c r="I78" s="49"/>
      <c r="J78" s="49"/>
      <c r="K78" s="49"/>
      <c r="L78" s="49"/>
      <c r="M78" s="49"/>
    </row>
    <row r="79" spans="2:13" ht="13" x14ac:dyDescent="0.3">
      <c r="B79" s="3"/>
    </row>
    <row r="80" spans="2:13" ht="16.5" customHeight="1" thickBot="1" x14ac:dyDescent="0.35">
      <c r="B80" s="3" t="s">
        <v>551</v>
      </c>
    </row>
    <row r="81" spans="2:7" ht="13" x14ac:dyDescent="0.3">
      <c r="B81" s="290" t="s">
        <v>552</v>
      </c>
      <c r="C81" s="291">
        <f>D42</f>
        <v>0</v>
      </c>
      <c r="D81" s="11" t="s">
        <v>553</v>
      </c>
    </row>
    <row r="82" spans="2:7" ht="13.5" thickBot="1" x14ac:dyDescent="0.35">
      <c r="B82" s="159" t="s">
        <v>554</v>
      </c>
      <c r="C82" s="292">
        <f>D77</f>
        <v>0</v>
      </c>
      <c r="D82" s="11" t="s">
        <v>553</v>
      </c>
    </row>
    <row r="83" spans="2:7" ht="13.5" thickBot="1" x14ac:dyDescent="0.35">
      <c r="B83" s="293" t="s">
        <v>555</v>
      </c>
      <c r="C83" s="294">
        <f>IF((C82-C81)&gt;0, (C82-C81), 0)</f>
        <v>0</v>
      </c>
      <c r="D83" s="11" t="s">
        <v>553</v>
      </c>
    </row>
    <row r="84" spans="2:7" ht="13.5" thickBot="1" x14ac:dyDescent="0.35">
      <c r="B84" s="245"/>
      <c r="C84" s="295"/>
    </row>
    <row r="85" spans="2:7" ht="13.5" thickBot="1" x14ac:dyDescent="0.35">
      <c r="B85" s="296" t="s">
        <v>556</v>
      </c>
      <c r="C85" s="297">
        <f>'IV. INPUT-Project'!C215</f>
        <v>0</v>
      </c>
      <c r="D85" s="11" t="s">
        <v>553</v>
      </c>
    </row>
    <row r="86" spans="2:7" ht="13.5" thickBot="1" x14ac:dyDescent="0.35">
      <c r="B86" s="293" t="s">
        <v>557</v>
      </c>
      <c r="C86" s="298">
        <f>IF((C85-C83)&gt;0, 0, 1)</f>
        <v>1</v>
      </c>
      <c r="D86" s="299" t="s">
        <v>558</v>
      </c>
    </row>
    <row r="87" spans="2:7" ht="13.5" thickBot="1" x14ac:dyDescent="0.35">
      <c r="B87" s="3"/>
    </row>
    <row r="88" spans="2:7" ht="13.5" thickBot="1" x14ac:dyDescent="0.35">
      <c r="B88" s="164" t="s">
        <v>559</v>
      </c>
      <c r="C88" s="155"/>
      <c r="D88" s="155"/>
      <c r="E88" s="287"/>
      <c r="F88" s="306">
        <f>F60+F73+(F78*C86)</f>
        <v>0</v>
      </c>
      <c r="G88" s="3"/>
    </row>
  </sheetData>
  <sheetProtection password="CCBF" sheet="1" objects="1" scenarios="1"/>
  <customSheetViews>
    <customSheetView guid="{A6F5A5FB-2E6E-47D3-842C-0D3D06DB341A}" scale="70">
      <selection activeCell="B2" sqref="B2"/>
      <pageMargins left="0" right="0" top="0" bottom="0" header="0" footer="0"/>
      <printOptions horizontalCentered="1" verticalCentered="1"/>
      <pageSetup scale="47" orientation="landscape" r:id="rId1"/>
      <headerFooter alignWithMargins="0"/>
    </customSheetView>
  </customSheetViews>
  <mergeCells count="8">
    <mergeCell ref="B75:E75"/>
    <mergeCell ref="H15:J35"/>
    <mergeCell ref="H50:J70"/>
    <mergeCell ref="B14:E14"/>
    <mergeCell ref="B27:E27"/>
    <mergeCell ref="B49:E49"/>
    <mergeCell ref="B62:E62"/>
    <mergeCell ref="B40:E40"/>
  </mergeCells>
  <phoneticPr fontId="2" type="noConversion"/>
  <printOptions horizontalCentered="1" verticalCentered="1"/>
  <pageMargins left="0.25" right="0.25" top="0.25" bottom="0.25" header="0.25" footer="0.25"/>
  <pageSetup scale="47" orientation="landscape"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theme="9"/>
  </sheetPr>
  <dimension ref="B1:X260"/>
  <sheetViews>
    <sheetView showGridLines="0" tabSelected="1" topLeftCell="A242" zoomScale="80" zoomScaleNormal="80" workbookViewId="0">
      <selection activeCell="C251" sqref="C251"/>
    </sheetView>
  </sheetViews>
  <sheetFormatPr defaultColWidth="9.1796875" defaultRowHeight="12.5" x14ac:dyDescent="0.25"/>
  <cols>
    <col min="1" max="1" width="4" style="11" customWidth="1"/>
    <col min="2" max="2" width="33.1796875" style="11" customWidth="1"/>
    <col min="3" max="3" width="29.81640625" style="11" bestFit="1" customWidth="1"/>
    <col min="4" max="4" width="25.81640625" style="11" bestFit="1" customWidth="1"/>
    <col min="5" max="5" width="29" style="11" customWidth="1"/>
    <col min="6" max="6" width="24.453125" style="11" bestFit="1" customWidth="1"/>
    <col min="7" max="7" width="32.453125" style="11" customWidth="1"/>
    <col min="8" max="9" width="10.1796875" style="11" bestFit="1" customWidth="1"/>
    <col min="10" max="10" width="9.1796875" style="11"/>
    <col min="11" max="11" width="12.81640625" style="11" bestFit="1" customWidth="1"/>
    <col min="12" max="12" width="10.453125" style="11" bestFit="1" customWidth="1"/>
    <col min="13" max="21" width="9.1796875" style="11"/>
    <col min="22" max="22" width="92.453125" style="11" customWidth="1"/>
    <col min="23" max="16384" width="9.1796875" style="11"/>
  </cols>
  <sheetData>
    <row r="1" spans="2:6" ht="13" x14ac:dyDescent="0.3">
      <c r="B1" s="329" t="str">
        <f>version</f>
        <v>COPtool Beta Version 2014k - September 2018</v>
      </c>
    </row>
    <row r="2" spans="2:6" ht="13" x14ac:dyDescent="0.3">
      <c r="B2" s="329" t="s">
        <v>81</v>
      </c>
    </row>
    <row r="4" spans="2:6" ht="18" x14ac:dyDescent="0.4">
      <c r="B4" s="13" t="s">
        <v>560</v>
      </c>
    </row>
    <row r="5" spans="2:6" ht="13.5" thickBot="1" x14ac:dyDescent="0.35">
      <c r="B5" s="3"/>
    </row>
    <row r="6" spans="2:6" ht="13.5" thickBot="1" x14ac:dyDescent="0.35">
      <c r="B6" s="460" t="s">
        <v>561</v>
      </c>
      <c r="C6" s="459">
        <v>25</v>
      </c>
    </row>
    <row r="7" spans="2:6" ht="13" x14ac:dyDescent="0.3">
      <c r="B7" s="3"/>
      <c r="C7" s="49"/>
    </row>
    <row r="8" spans="2:6" ht="16" thickBot="1" x14ac:dyDescent="0.4">
      <c r="B8" s="355" t="s">
        <v>562</v>
      </c>
      <c r="C8" s="356"/>
      <c r="D8" s="356"/>
    </row>
    <row r="9" spans="2:6" ht="14.25" customHeight="1" x14ac:dyDescent="0.25">
      <c r="B9" s="757" t="s">
        <v>563</v>
      </c>
      <c r="C9" s="353" t="s">
        <v>564</v>
      </c>
      <c r="D9" s="354" t="s">
        <v>565</v>
      </c>
      <c r="E9" s="759" t="s">
        <v>566</v>
      </c>
      <c r="F9" s="57"/>
    </row>
    <row r="10" spans="2:6" ht="16.5" thickBot="1" x14ac:dyDescent="0.3">
      <c r="B10" s="758"/>
      <c r="C10" s="332" t="s">
        <v>567</v>
      </c>
      <c r="D10" s="352" t="s">
        <v>568</v>
      </c>
      <c r="E10" s="760"/>
    </row>
    <row r="11" spans="2:6" s="50" customFormat="1" ht="12.75" customHeight="1" x14ac:dyDescent="0.25">
      <c r="B11" s="333" t="s">
        <v>219</v>
      </c>
      <c r="C11" s="357" t="s">
        <v>569</v>
      </c>
      <c r="D11" s="405">
        <v>0.24</v>
      </c>
      <c r="E11" s="425">
        <v>680</v>
      </c>
    </row>
    <row r="12" spans="2:6" s="50" customFormat="1" x14ac:dyDescent="0.25">
      <c r="B12" s="334" t="s">
        <v>221</v>
      </c>
      <c r="C12" s="358">
        <v>5.56</v>
      </c>
      <c r="D12" s="406">
        <v>0.24</v>
      </c>
      <c r="E12" s="426">
        <v>684</v>
      </c>
    </row>
    <row r="13" spans="2:6" s="50" customFormat="1" x14ac:dyDescent="0.25">
      <c r="B13" s="334" t="s">
        <v>223</v>
      </c>
      <c r="C13" s="357" t="s">
        <v>569</v>
      </c>
      <c r="D13" s="406">
        <v>0.17</v>
      </c>
      <c r="E13" s="426">
        <v>407</v>
      </c>
    </row>
    <row r="14" spans="2:6" s="50" customFormat="1" x14ac:dyDescent="0.25">
      <c r="B14" s="334" t="s">
        <v>225</v>
      </c>
      <c r="C14" s="358">
        <v>6.04</v>
      </c>
      <c r="D14" s="406">
        <v>0.17</v>
      </c>
      <c r="E14" s="426">
        <v>874</v>
      </c>
    </row>
    <row r="15" spans="2:6" s="50" customFormat="1" x14ac:dyDescent="0.25">
      <c r="B15" s="334" t="s">
        <v>227</v>
      </c>
      <c r="C15" s="478">
        <v>7.7</v>
      </c>
      <c r="D15" s="406">
        <v>0.17</v>
      </c>
      <c r="E15" s="426">
        <v>118</v>
      </c>
    </row>
    <row r="16" spans="2:6" s="50" customFormat="1" x14ac:dyDescent="0.25">
      <c r="B16" s="334" t="s">
        <v>229</v>
      </c>
      <c r="C16" s="357" t="s">
        <v>569</v>
      </c>
      <c r="D16" s="406">
        <v>0.17</v>
      </c>
      <c r="E16" s="426">
        <v>351.5</v>
      </c>
    </row>
    <row r="17" spans="2:12" s="50" customFormat="1" x14ac:dyDescent="0.25">
      <c r="B17" s="334" t="s">
        <v>231</v>
      </c>
      <c r="C17" s="357" t="s">
        <v>569</v>
      </c>
      <c r="D17" s="406">
        <v>0.17</v>
      </c>
      <c r="E17" s="426">
        <v>582.5</v>
      </c>
    </row>
    <row r="18" spans="2:12" s="50" customFormat="1" x14ac:dyDescent="0.25">
      <c r="B18" s="334" t="s">
        <v>233</v>
      </c>
      <c r="C18" s="358">
        <v>8.89</v>
      </c>
      <c r="D18" s="406">
        <v>0.48</v>
      </c>
      <c r="E18" s="426">
        <v>12.5</v>
      </c>
    </row>
    <row r="19" spans="2:12" s="50" customFormat="1" x14ac:dyDescent="0.25">
      <c r="B19" s="334" t="s">
        <v>235</v>
      </c>
      <c r="C19" s="358">
        <v>5.36</v>
      </c>
      <c r="D19" s="406">
        <v>0.48</v>
      </c>
      <c r="E19" s="426">
        <v>70</v>
      </c>
    </row>
    <row r="20" spans="2:12" s="50" customFormat="1" ht="13" thickBot="1" x14ac:dyDescent="0.3">
      <c r="B20" s="335" t="s">
        <v>237</v>
      </c>
      <c r="C20" s="359">
        <v>2.71</v>
      </c>
      <c r="D20" s="407">
        <v>0.35</v>
      </c>
      <c r="E20" s="427">
        <v>198</v>
      </c>
    </row>
    <row r="21" spans="2:12" s="50" customFormat="1" x14ac:dyDescent="0.25">
      <c r="B21" s="32"/>
      <c r="C21" s="116"/>
      <c r="D21" s="116"/>
      <c r="E21" s="135"/>
    </row>
    <row r="22" spans="2:12" s="50" customFormat="1" ht="16" thickBot="1" x14ac:dyDescent="0.4">
      <c r="B22" s="184" t="s">
        <v>570</v>
      </c>
      <c r="C22" s="116"/>
      <c r="D22" s="116"/>
      <c r="E22" s="135"/>
    </row>
    <row r="23" spans="2:12" s="50" customFormat="1" ht="26" x14ac:dyDescent="0.25">
      <c r="B23" s="488" t="s">
        <v>571</v>
      </c>
      <c r="C23" s="489" t="s">
        <v>572</v>
      </c>
      <c r="D23" s="135"/>
    </row>
    <row r="24" spans="2:12" s="50" customFormat="1" x14ac:dyDescent="0.25">
      <c r="B24" s="47" t="s">
        <v>573</v>
      </c>
      <c r="C24" s="48">
        <v>0.95</v>
      </c>
      <c r="D24" s="135"/>
    </row>
    <row r="25" spans="2:12" s="50" customFormat="1" x14ac:dyDescent="0.25">
      <c r="B25" s="47" t="s">
        <v>574</v>
      </c>
      <c r="C25" s="48" t="s">
        <v>575</v>
      </c>
      <c r="D25" s="135"/>
    </row>
    <row r="26" spans="2:12" s="50" customFormat="1" ht="13" thickBot="1" x14ac:dyDescent="0.3">
      <c r="B26" s="490" t="s">
        <v>576</v>
      </c>
      <c r="C26" s="491">
        <v>0.98</v>
      </c>
      <c r="D26" s="135"/>
    </row>
    <row r="28" spans="2:12" ht="16" thickBot="1" x14ac:dyDescent="0.4">
      <c r="B28" s="184" t="s">
        <v>577</v>
      </c>
      <c r="C28" s="34"/>
      <c r="D28" s="34"/>
      <c r="E28" s="34"/>
    </row>
    <row r="29" spans="2:12" ht="26" x14ac:dyDescent="0.3">
      <c r="B29" s="337" t="s">
        <v>152</v>
      </c>
      <c r="C29" s="338" t="s">
        <v>219</v>
      </c>
      <c r="D29" s="338" t="s">
        <v>223</v>
      </c>
      <c r="E29" s="338" t="s">
        <v>229</v>
      </c>
      <c r="F29" s="339" t="s">
        <v>231</v>
      </c>
      <c r="G29" s="528" t="s">
        <v>221</v>
      </c>
      <c r="H29" s="528" t="s">
        <v>225</v>
      </c>
      <c r="I29" s="528" t="s">
        <v>227</v>
      </c>
      <c r="J29" s="528" t="s">
        <v>233</v>
      </c>
      <c r="K29" s="528" t="s">
        <v>235</v>
      </c>
      <c r="L29" s="528" t="s">
        <v>237</v>
      </c>
    </row>
    <row r="30" spans="2:12" x14ac:dyDescent="0.25">
      <c r="B30" s="330" t="s">
        <v>146</v>
      </c>
      <c r="C30" s="462">
        <v>8.6199999999999992</v>
      </c>
      <c r="D30" s="462">
        <v>8.44</v>
      </c>
      <c r="E30" s="462">
        <v>19.670000000000002</v>
      </c>
      <c r="F30" s="464">
        <v>7.82</v>
      </c>
      <c r="G30" s="529">
        <v>5.56</v>
      </c>
      <c r="H30" s="529">
        <v>6.04</v>
      </c>
      <c r="I30" s="529">
        <v>7.7</v>
      </c>
      <c r="J30" s="529">
        <v>8.89</v>
      </c>
      <c r="K30" s="529">
        <v>5.36</v>
      </c>
      <c r="L30" s="529">
        <v>2.71</v>
      </c>
    </row>
    <row r="31" spans="2:12" x14ac:dyDescent="0.25">
      <c r="B31" s="330" t="s">
        <v>148</v>
      </c>
      <c r="C31" s="462">
        <v>8.7100000000000009</v>
      </c>
      <c r="D31" s="463">
        <v>8.44</v>
      </c>
      <c r="E31" s="462">
        <v>30.94</v>
      </c>
      <c r="F31" s="464">
        <v>8.89</v>
      </c>
      <c r="G31" s="529">
        <v>5.56</v>
      </c>
      <c r="H31" s="529">
        <v>6.04</v>
      </c>
      <c r="I31" s="529">
        <v>7.7</v>
      </c>
      <c r="J31" s="529">
        <v>8.89</v>
      </c>
      <c r="K31" s="529">
        <v>5.36</v>
      </c>
      <c r="L31" s="529">
        <v>2.71</v>
      </c>
    </row>
    <row r="32" spans="2:12" x14ac:dyDescent="0.25">
      <c r="B32" s="330" t="s">
        <v>151</v>
      </c>
      <c r="C32" s="462">
        <v>11.64</v>
      </c>
      <c r="D32" s="463">
        <v>8.44</v>
      </c>
      <c r="E32" s="462">
        <v>22.32</v>
      </c>
      <c r="F32" s="464">
        <v>8.89</v>
      </c>
      <c r="G32" s="529">
        <v>5.56</v>
      </c>
      <c r="H32" s="529">
        <v>6.04</v>
      </c>
      <c r="I32" s="529">
        <v>7.7</v>
      </c>
      <c r="J32" s="529">
        <v>8.89</v>
      </c>
      <c r="K32" s="529">
        <v>5.36</v>
      </c>
      <c r="L32" s="529">
        <v>2.71</v>
      </c>
    </row>
    <row r="33" spans="2:12" x14ac:dyDescent="0.25">
      <c r="B33" s="330" t="s">
        <v>154</v>
      </c>
      <c r="C33" s="462">
        <v>8.44</v>
      </c>
      <c r="D33" s="462">
        <v>8.44</v>
      </c>
      <c r="E33" s="462">
        <v>18.38</v>
      </c>
      <c r="F33" s="464">
        <v>7.82</v>
      </c>
      <c r="G33" s="529">
        <v>5.56</v>
      </c>
      <c r="H33" s="529">
        <v>6.04</v>
      </c>
      <c r="I33" s="529">
        <v>7.7</v>
      </c>
      <c r="J33" s="529">
        <v>8.89</v>
      </c>
      <c r="K33" s="529">
        <v>5.36</v>
      </c>
      <c r="L33" s="529">
        <v>2.71</v>
      </c>
    </row>
    <row r="34" spans="2:12" x14ac:dyDescent="0.25">
      <c r="B34" s="330" t="s">
        <v>157</v>
      </c>
      <c r="C34" s="462">
        <v>11.41</v>
      </c>
      <c r="D34" s="463">
        <v>8.44</v>
      </c>
      <c r="E34" s="462">
        <v>13.96</v>
      </c>
      <c r="F34" s="464">
        <v>8.89</v>
      </c>
      <c r="G34" s="529">
        <v>5.56</v>
      </c>
      <c r="H34" s="529">
        <v>6.04</v>
      </c>
      <c r="I34" s="529">
        <v>7.7</v>
      </c>
      <c r="J34" s="529">
        <v>8.89</v>
      </c>
      <c r="K34" s="529">
        <v>5.36</v>
      </c>
      <c r="L34" s="529">
        <v>2.71</v>
      </c>
    </row>
    <row r="35" spans="2:12" x14ac:dyDescent="0.25">
      <c r="B35" s="330" t="s">
        <v>160</v>
      </c>
      <c r="C35" s="462">
        <v>11.64</v>
      </c>
      <c r="D35" s="463">
        <v>8.44</v>
      </c>
      <c r="E35" s="462">
        <v>12.28</v>
      </c>
      <c r="F35" s="464">
        <v>8.89</v>
      </c>
      <c r="G35" s="529">
        <v>5.56</v>
      </c>
      <c r="H35" s="529">
        <v>6.04</v>
      </c>
      <c r="I35" s="529">
        <v>7.7</v>
      </c>
      <c r="J35" s="529">
        <v>8.89</v>
      </c>
      <c r="K35" s="529">
        <v>5.36</v>
      </c>
      <c r="L35" s="529">
        <v>2.71</v>
      </c>
    </row>
    <row r="36" spans="2:12" x14ac:dyDescent="0.25">
      <c r="B36" s="330" t="s">
        <v>163</v>
      </c>
      <c r="C36" s="462">
        <v>10.41</v>
      </c>
      <c r="D36" s="462">
        <v>8.44</v>
      </c>
      <c r="E36" s="462">
        <v>23.35</v>
      </c>
      <c r="F36" s="464">
        <v>7.87</v>
      </c>
      <c r="G36" s="529">
        <v>5.56</v>
      </c>
      <c r="H36" s="529">
        <v>6.04</v>
      </c>
      <c r="I36" s="529">
        <v>7.7</v>
      </c>
      <c r="J36" s="529">
        <v>8.89</v>
      </c>
      <c r="K36" s="529">
        <v>5.36</v>
      </c>
      <c r="L36" s="529">
        <v>2.71</v>
      </c>
    </row>
    <row r="37" spans="2:12" x14ac:dyDescent="0.25">
      <c r="B37" s="330" t="s">
        <v>165</v>
      </c>
      <c r="C37" s="462">
        <v>10.18</v>
      </c>
      <c r="D37" s="463">
        <v>8.44</v>
      </c>
      <c r="E37" s="462">
        <v>16.82</v>
      </c>
      <c r="F37" s="464">
        <v>7.87</v>
      </c>
      <c r="G37" s="529">
        <v>5.56</v>
      </c>
      <c r="H37" s="529">
        <v>6.04</v>
      </c>
      <c r="I37" s="529">
        <v>7.7</v>
      </c>
      <c r="J37" s="529">
        <v>8.89</v>
      </c>
      <c r="K37" s="529">
        <v>5.36</v>
      </c>
      <c r="L37" s="529">
        <v>2.71</v>
      </c>
    </row>
    <row r="38" spans="2:12" x14ac:dyDescent="0.25">
      <c r="B38" s="330" t="s">
        <v>168</v>
      </c>
      <c r="C38" s="462">
        <v>10.36</v>
      </c>
      <c r="D38" s="463">
        <v>8.44</v>
      </c>
      <c r="E38" s="462">
        <v>21.99</v>
      </c>
      <c r="F38" s="464">
        <v>7.82</v>
      </c>
      <c r="G38" s="529">
        <v>5.56</v>
      </c>
      <c r="H38" s="529">
        <v>6.04</v>
      </c>
      <c r="I38" s="529">
        <v>7.7</v>
      </c>
      <c r="J38" s="529">
        <v>8.89</v>
      </c>
      <c r="K38" s="529">
        <v>5.36</v>
      </c>
      <c r="L38" s="529">
        <v>2.71</v>
      </c>
    </row>
    <row r="39" spans="2:12" x14ac:dyDescent="0.25">
      <c r="B39" s="330" t="s">
        <v>170</v>
      </c>
      <c r="C39" s="462">
        <v>10.4</v>
      </c>
      <c r="D39" s="462">
        <v>8.44</v>
      </c>
      <c r="E39" s="462">
        <v>19.170000000000002</v>
      </c>
      <c r="F39" s="464">
        <v>7.82</v>
      </c>
      <c r="G39" s="529">
        <v>5.56</v>
      </c>
      <c r="H39" s="529">
        <v>6.04</v>
      </c>
      <c r="I39" s="529">
        <v>7.7</v>
      </c>
      <c r="J39" s="529">
        <v>8.89</v>
      </c>
      <c r="K39" s="529">
        <v>5.36</v>
      </c>
      <c r="L39" s="529">
        <v>2.71</v>
      </c>
    </row>
    <row r="40" spans="2:12" x14ac:dyDescent="0.25">
      <c r="B40" s="330" t="s">
        <v>171</v>
      </c>
      <c r="C40" s="462">
        <v>8.6999999999999993</v>
      </c>
      <c r="D40" s="463">
        <v>8.44</v>
      </c>
      <c r="E40" s="462">
        <v>20.25</v>
      </c>
      <c r="F40" s="464">
        <v>8.89</v>
      </c>
      <c r="G40" s="529">
        <v>5.56</v>
      </c>
      <c r="H40" s="529">
        <v>6.04</v>
      </c>
      <c r="I40" s="529">
        <v>7.7</v>
      </c>
      <c r="J40" s="529">
        <v>8.89</v>
      </c>
      <c r="K40" s="529">
        <v>5.36</v>
      </c>
      <c r="L40" s="529">
        <v>2.71</v>
      </c>
    </row>
    <row r="41" spans="2:12" x14ac:dyDescent="0.25">
      <c r="B41" s="330" t="s">
        <v>173</v>
      </c>
      <c r="C41" s="462">
        <v>11.45</v>
      </c>
      <c r="D41" s="463">
        <v>8.44</v>
      </c>
      <c r="E41" s="462">
        <v>13.75</v>
      </c>
      <c r="F41" s="464">
        <v>8.89</v>
      </c>
      <c r="G41" s="529">
        <v>5.56</v>
      </c>
      <c r="H41" s="529">
        <v>6.04</v>
      </c>
      <c r="I41" s="529">
        <v>7.7</v>
      </c>
      <c r="J41" s="529">
        <v>8.89</v>
      </c>
      <c r="K41" s="529">
        <v>5.36</v>
      </c>
      <c r="L41" s="529">
        <v>2.71</v>
      </c>
    </row>
    <row r="42" spans="2:12" x14ac:dyDescent="0.25">
      <c r="B42" s="330" t="s">
        <v>175</v>
      </c>
      <c r="C42" s="462">
        <v>10.3</v>
      </c>
      <c r="D42" s="462">
        <v>8.44</v>
      </c>
      <c r="E42" s="462">
        <v>11.42</v>
      </c>
      <c r="F42" s="464">
        <v>7.47</v>
      </c>
      <c r="G42" s="529">
        <v>5.56</v>
      </c>
      <c r="H42" s="529">
        <v>6.04</v>
      </c>
      <c r="I42" s="529">
        <v>7.7</v>
      </c>
      <c r="J42" s="529">
        <v>8.89</v>
      </c>
      <c r="K42" s="529">
        <v>5.36</v>
      </c>
      <c r="L42" s="529">
        <v>2.71</v>
      </c>
    </row>
    <row r="43" spans="2:12" x14ac:dyDescent="0.25">
      <c r="B43" s="330" t="s">
        <v>178</v>
      </c>
      <c r="C43" s="462">
        <v>10.85</v>
      </c>
      <c r="D43" s="463">
        <v>8.44</v>
      </c>
      <c r="E43" s="462">
        <v>11.72</v>
      </c>
      <c r="F43" s="464">
        <v>7.47</v>
      </c>
      <c r="G43" s="529">
        <v>5.56</v>
      </c>
      <c r="H43" s="529">
        <v>6.04</v>
      </c>
      <c r="I43" s="529">
        <v>7.7</v>
      </c>
      <c r="J43" s="529">
        <v>8.89</v>
      </c>
      <c r="K43" s="529">
        <v>5.36</v>
      </c>
      <c r="L43" s="529">
        <v>2.71</v>
      </c>
    </row>
    <row r="44" spans="2:12" x14ac:dyDescent="0.25">
      <c r="B44" s="330" t="s">
        <v>180</v>
      </c>
      <c r="C44" s="462">
        <v>10.96</v>
      </c>
      <c r="D44" s="463">
        <v>8.44</v>
      </c>
      <c r="E44" s="462">
        <v>9.5399999999999991</v>
      </c>
      <c r="F44" s="464">
        <v>7.47</v>
      </c>
      <c r="G44" s="529">
        <v>5.56</v>
      </c>
      <c r="H44" s="529">
        <v>6.04</v>
      </c>
      <c r="I44" s="529">
        <v>7.7</v>
      </c>
      <c r="J44" s="529">
        <v>8.89</v>
      </c>
      <c r="K44" s="529">
        <v>5.36</v>
      </c>
      <c r="L44" s="529">
        <v>2.71</v>
      </c>
    </row>
    <row r="45" spans="2:12" x14ac:dyDescent="0.25">
      <c r="B45" s="330" t="s">
        <v>181</v>
      </c>
      <c r="C45" s="462">
        <v>10.94</v>
      </c>
      <c r="D45" s="462">
        <v>8.44</v>
      </c>
      <c r="E45" s="462">
        <v>8.99</v>
      </c>
      <c r="F45" s="464">
        <v>7.47</v>
      </c>
      <c r="G45" s="529">
        <v>5.56</v>
      </c>
      <c r="H45" s="529">
        <v>6.04</v>
      </c>
      <c r="I45" s="529">
        <v>7.7</v>
      </c>
      <c r="J45" s="529">
        <v>8.89</v>
      </c>
      <c r="K45" s="529">
        <v>5.36</v>
      </c>
      <c r="L45" s="529">
        <v>2.71</v>
      </c>
    </row>
    <row r="46" spans="2:12" x14ac:dyDescent="0.25">
      <c r="B46" s="330" t="s">
        <v>183</v>
      </c>
      <c r="C46" s="462">
        <v>9.1999999999999993</v>
      </c>
      <c r="D46" s="463">
        <v>8.44</v>
      </c>
      <c r="E46" s="462">
        <v>14.69</v>
      </c>
      <c r="F46" s="464">
        <v>7.82</v>
      </c>
      <c r="G46" s="529">
        <v>5.56</v>
      </c>
      <c r="H46" s="529">
        <v>6.04</v>
      </c>
      <c r="I46" s="529">
        <v>7.7</v>
      </c>
      <c r="J46" s="529">
        <v>8.89</v>
      </c>
      <c r="K46" s="529">
        <v>5.36</v>
      </c>
      <c r="L46" s="529">
        <v>2.71</v>
      </c>
    </row>
    <row r="47" spans="2:12" x14ac:dyDescent="0.25">
      <c r="B47" s="330" t="s">
        <v>185</v>
      </c>
      <c r="C47" s="462">
        <v>8.41</v>
      </c>
      <c r="D47" s="463">
        <v>8.44</v>
      </c>
      <c r="E47" s="462">
        <v>21.36</v>
      </c>
      <c r="F47" s="464">
        <v>7.82</v>
      </c>
      <c r="G47" s="529">
        <v>5.56</v>
      </c>
      <c r="H47" s="529">
        <v>6.04</v>
      </c>
      <c r="I47" s="529">
        <v>7.7</v>
      </c>
      <c r="J47" s="529">
        <v>8.89</v>
      </c>
      <c r="K47" s="529">
        <v>5.36</v>
      </c>
      <c r="L47" s="529">
        <v>2.71</v>
      </c>
    </row>
    <row r="48" spans="2:12" x14ac:dyDescent="0.25">
      <c r="B48" s="330" t="s">
        <v>194</v>
      </c>
      <c r="C48" s="462">
        <v>10.01</v>
      </c>
      <c r="D48" s="462">
        <v>8.44</v>
      </c>
      <c r="E48" s="462">
        <v>15.12</v>
      </c>
      <c r="F48" s="464">
        <v>7.87</v>
      </c>
      <c r="G48" s="529">
        <v>5.56</v>
      </c>
      <c r="H48" s="529">
        <v>6.04</v>
      </c>
      <c r="I48" s="529">
        <v>7.7</v>
      </c>
      <c r="J48" s="529">
        <v>8.89</v>
      </c>
      <c r="K48" s="529">
        <v>5.36</v>
      </c>
      <c r="L48" s="529">
        <v>2.71</v>
      </c>
    </row>
    <row r="49" spans="2:12" x14ac:dyDescent="0.25">
      <c r="B49" s="330" t="s">
        <v>195</v>
      </c>
      <c r="C49" s="462">
        <v>10.199999999999999</v>
      </c>
      <c r="D49" s="463">
        <v>8.44</v>
      </c>
      <c r="E49" s="462">
        <v>17.18</v>
      </c>
      <c r="F49" s="464">
        <v>7.87</v>
      </c>
      <c r="G49" s="529">
        <v>5.56</v>
      </c>
      <c r="H49" s="529">
        <v>6.04</v>
      </c>
      <c r="I49" s="529">
        <v>7.7</v>
      </c>
      <c r="J49" s="529">
        <v>8.89</v>
      </c>
      <c r="K49" s="529">
        <v>5.36</v>
      </c>
      <c r="L49" s="529">
        <v>2.71</v>
      </c>
    </row>
    <row r="50" spans="2:12" x14ac:dyDescent="0.25">
      <c r="B50" s="330" t="s">
        <v>196</v>
      </c>
      <c r="C50" s="462">
        <v>9.91</v>
      </c>
      <c r="D50" s="463">
        <v>8.44</v>
      </c>
      <c r="E50" s="462">
        <v>20.89</v>
      </c>
      <c r="F50" s="464">
        <v>7.87</v>
      </c>
      <c r="G50" s="529">
        <v>5.56</v>
      </c>
      <c r="H50" s="529">
        <v>6.04</v>
      </c>
      <c r="I50" s="529">
        <v>7.7</v>
      </c>
      <c r="J50" s="529">
        <v>8.89</v>
      </c>
      <c r="K50" s="529">
        <v>5.36</v>
      </c>
      <c r="L50" s="529">
        <v>2.71</v>
      </c>
    </row>
    <row r="51" spans="2:12" x14ac:dyDescent="0.25">
      <c r="B51" s="330" t="s">
        <v>197</v>
      </c>
      <c r="C51" s="462">
        <v>11.56</v>
      </c>
      <c r="D51" s="462">
        <v>8.44</v>
      </c>
      <c r="E51" s="462">
        <v>12.19</v>
      </c>
      <c r="F51" s="464">
        <v>7.47</v>
      </c>
      <c r="G51" s="529">
        <v>5.56</v>
      </c>
      <c r="H51" s="529">
        <v>6.04</v>
      </c>
      <c r="I51" s="529">
        <v>7.7</v>
      </c>
      <c r="J51" s="529">
        <v>8.89</v>
      </c>
      <c r="K51" s="529">
        <v>5.36</v>
      </c>
      <c r="L51" s="529">
        <v>2.71</v>
      </c>
    </row>
    <row r="52" spans="2:12" x14ac:dyDescent="0.25">
      <c r="B52" s="330" t="s">
        <v>198</v>
      </c>
      <c r="C52" s="462">
        <v>10.29</v>
      </c>
      <c r="D52" s="463">
        <v>8.44</v>
      </c>
      <c r="E52" s="462">
        <v>11.47</v>
      </c>
      <c r="F52" s="464">
        <v>7.47</v>
      </c>
      <c r="G52" s="529">
        <v>5.56</v>
      </c>
      <c r="H52" s="529">
        <v>6.04</v>
      </c>
      <c r="I52" s="529">
        <v>7.7</v>
      </c>
      <c r="J52" s="529">
        <v>8.89</v>
      </c>
      <c r="K52" s="529">
        <v>5.36</v>
      </c>
      <c r="L52" s="529">
        <v>2.71</v>
      </c>
    </row>
    <row r="53" spans="2:12" x14ac:dyDescent="0.25">
      <c r="B53" s="330" t="s">
        <v>199</v>
      </c>
      <c r="C53" s="462">
        <v>8.9600000000000009</v>
      </c>
      <c r="D53" s="463">
        <v>8.44</v>
      </c>
      <c r="E53" s="462">
        <v>19.309999999999999</v>
      </c>
      <c r="F53" s="464">
        <v>7.82</v>
      </c>
      <c r="G53" s="529">
        <v>5.56</v>
      </c>
      <c r="H53" s="529">
        <v>6.04</v>
      </c>
      <c r="I53" s="529">
        <v>7.7</v>
      </c>
      <c r="J53" s="529">
        <v>8.89</v>
      </c>
      <c r="K53" s="529">
        <v>5.36</v>
      </c>
      <c r="L53" s="529">
        <v>2.71</v>
      </c>
    </row>
    <row r="54" spans="2:12" x14ac:dyDescent="0.25">
      <c r="B54" s="330" t="s">
        <v>200</v>
      </c>
      <c r="C54" s="462">
        <v>8.92</v>
      </c>
      <c r="D54" s="462">
        <v>8.44</v>
      </c>
      <c r="E54" s="462">
        <v>14.84</v>
      </c>
      <c r="F54" s="464">
        <v>7.47</v>
      </c>
      <c r="G54" s="529">
        <v>5.56</v>
      </c>
      <c r="H54" s="529">
        <v>6.04</v>
      </c>
      <c r="I54" s="529">
        <v>7.7</v>
      </c>
      <c r="J54" s="529">
        <v>8.89</v>
      </c>
      <c r="K54" s="529">
        <v>5.36</v>
      </c>
      <c r="L54" s="529">
        <v>2.71</v>
      </c>
    </row>
    <row r="55" spans="2:12" x14ac:dyDescent="0.25">
      <c r="B55" s="330" t="s">
        <v>201</v>
      </c>
      <c r="C55" s="462">
        <v>10.85</v>
      </c>
      <c r="D55" s="463">
        <v>8.44</v>
      </c>
      <c r="E55" s="462">
        <v>18.5</v>
      </c>
      <c r="F55" s="464">
        <v>7.82</v>
      </c>
      <c r="G55" s="529">
        <v>5.56</v>
      </c>
      <c r="H55" s="529">
        <v>6.04</v>
      </c>
      <c r="I55" s="529">
        <v>7.7</v>
      </c>
      <c r="J55" s="529">
        <v>8.89</v>
      </c>
      <c r="K55" s="529">
        <v>5.36</v>
      </c>
      <c r="L55" s="529">
        <v>2.71</v>
      </c>
    </row>
    <row r="56" spans="2:12" x14ac:dyDescent="0.25">
      <c r="B56" s="330" t="s">
        <v>202</v>
      </c>
      <c r="C56" s="462">
        <v>10.79</v>
      </c>
      <c r="D56" s="463">
        <v>8.44</v>
      </c>
      <c r="E56" s="462">
        <v>11.97</v>
      </c>
      <c r="F56" s="464">
        <v>8.89</v>
      </c>
      <c r="G56" s="529">
        <v>5.56</v>
      </c>
      <c r="H56" s="529">
        <v>6.04</v>
      </c>
      <c r="I56" s="529">
        <v>7.7</v>
      </c>
      <c r="J56" s="529">
        <v>8.89</v>
      </c>
      <c r="K56" s="529">
        <v>5.36</v>
      </c>
      <c r="L56" s="529">
        <v>2.71</v>
      </c>
    </row>
    <row r="57" spans="2:12" x14ac:dyDescent="0.25">
      <c r="B57" s="330" t="s">
        <v>203</v>
      </c>
      <c r="C57" s="462">
        <v>11.33</v>
      </c>
      <c r="D57" s="462">
        <v>8.44</v>
      </c>
      <c r="E57" s="462">
        <v>14.77</v>
      </c>
      <c r="F57" s="464">
        <v>7.47</v>
      </c>
      <c r="G57" s="529">
        <v>5.56</v>
      </c>
      <c r="H57" s="529">
        <v>6.04</v>
      </c>
      <c r="I57" s="529">
        <v>7.7</v>
      </c>
      <c r="J57" s="529">
        <v>8.89</v>
      </c>
      <c r="K57" s="529">
        <v>5.36</v>
      </c>
      <c r="L57" s="529">
        <v>2.71</v>
      </c>
    </row>
    <row r="58" spans="2:12" x14ac:dyDescent="0.25">
      <c r="B58" s="330" t="s">
        <v>204</v>
      </c>
      <c r="C58" s="462">
        <v>10.34</v>
      </c>
      <c r="D58" s="463">
        <v>8.44</v>
      </c>
      <c r="E58" s="462">
        <v>23.83</v>
      </c>
      <c r="F58" s="464">
        <v>8.92</v>
      </c>
      <c r="G58" s="529">
        <v>5.56</v>
      </c>
      <c r="H58" s="529">
        <v>6.04</v>
      </c>
      <c r="I58" s="529">
        <v>7.7</v>
      </c>
      <c r="J58" s="529">
        <v>8.89</v>
      </c>
      <c r="K58" s="529">
        <v>5.36</v>
      </c>
      <c r="L58" s="529">
        <v>2.71</v>
      </c>
    </row>
    <row r="59" spans="2:12" x14ac:dyDescent="0.25">
      <c r="B59" s="330" t="s">
        <v>205</v>
      </c>
      <c r="C59" s="462">
        <v>10.01</v>
      </c>
      <c r="D59" s="463">
        <v>8.44</v>
      </c>
      <c r="E59" s="462">
        <v>16.559999999999999</v>
      </c>
      <c r="F59" s="464">
        <v>7.87</v>
      </c>
      <c r="G59" s="529">
        <v>5.56</v>
      </c>
      <c r="H59" s="529">
        <v>6.04</v>
      </c>
      <c r="I59" s="529">
        <v>7.7</v>
      </c>
      <c r="J59" s="529">
        <v>8.89</v>
      </c>
      <c r="K59" s="529">
        <v>5.36</v>
      </c>
      <c r="L59" s="529">
        <v>2.71</v>
      </c>
    </row>
    <row r="60" spans="2:12" x14ac:dyDescent="0.25">
      <c r="B60" s="330" t="s">
        <v>206</v>
      </c>
      <c r="C60" s="462">
        <v>11.85</v>
      </c>
      <c r="D60" s="462">
        <v>8.44</v>
      </c>
      <c r="E60" s="462">
        <v>14.27</v>
      </c>
      <c r="F60" s="464">
        <v>7.87</v>
      </c>
      <c r="G60" s="529">
        <v>5.56</v>
      </c>
      <c r="H60" s="529">
        <v>6.04</v>
      </c>
      <c r="I60" s="529">
        <v>7.7</v>
      </c>
      <c r="J60" s="529">
        <v>8.89</v>
      </c>
      <c r="K60" s="529">
        <v>5.36</v>
      </c>
      <c r="L60" s="529">
        <v>2.71</v>
      </c>
    </row>
    <row r="61" spans="2:12" x14ac:dyDescent="0.25">
      <c r="B61" s="330" t="s">
        <v>209</v>
      </c>
      <c r="C61" s="462">
        <v>10.93</v>
      </c>
      <c r="D61" s="463">
        <v>8.44</v>
      </c>
      <c r="E61" s="462">
        <v>16.72</v>
      </c>
      <c r="F61" s="464">
        <v>8.89</v>
      </c>
      <c r="G61" s="529">
        <v>5.56</v>
      </c>
      <c r="H61" s="529">
        <v>6.04</v>
      </c>
      <c r="I61" s="529">
        <v>7.7</v>
      </c>
      <c r="J61" s="529">
        <v>8.89</v>
      </c>
      <c r="K61" s="529">
        <v>5.36</v>
      </c>
      <c r="L61" s="529">
        <v>2.71</v>
      </c>
    </row>
    <row r="62" spans="2:12" x14ac:dyDescent="0.25">
      <c r="B62" s="330" t="s">
        <v>210</v>
      </c>
      <c r="C62" s="462">
        <v>10.79</v>
      </c>
      <c r="D62" s="463">
        <v>8.44</v>
      </c>
      <c r="E62" s="462">
        <v>19.93</v>
      </c>
      <c r="F62" s="464">
        <v>7.87</v>
      </c>
      <c r="G62" s="529">
        <v>5.56</v>
      </c>
      <c r="H62" s="529">
        <v>6.04</v>
      </c>
      <c r="I62" s="529">
        <v>7.7</v>
      </c>
      <c r="J62" s="529">
        <v>8.89</v>
      </c>
      <c r="K62" s="529">
        <v>5.36</v>
      </c>
      <c r="L62" s="529">
        <v>2.71</v>
      </c>
    </row>
    <row r="63" spans="2:12" x14ac:dyDescent="0.25">
      <c r="B63" s="330" t="s">
        <v>212</v>
      </c>
      <c r="C63" s="462">
        <v>10.220000000000001</v>
      </c>
      <c r="D63" s="462">
        <v>8.44</v>
      </c>
      <c r="E63" s="462">
        <v>14.61</v>
      </c>
      <c r="F63" s="464">
        <v>7.82</v>
      </c>
      <c r="G63" s="529">
        <v>5.56</v>
      </c>
      <c r="H63" s="529">
        <v>6.04</v>
      </c>
      <c r="I63" s="529">
        <v>7.7</v>
      </c>
      <c r="J63" s="529">
        <v>8.89</v>
      </c>
      <c r="K63" s="529">
        <v>5.36</v>
      </c>
      <c r="L63" s="529">
        <v>2.71</v>
      </c>
    </row>
    <row r="64" spans="2:12" x14ac:dyDescent="0.25">
      <c r="B64" s="330" t="s">
        <v>214</v>
      </c>
      <c r="C64" s="462">
        <v>10.39</v>
      </c>
      <c r="D64" s="463">
        <v>8.44</v>
      </c>
      <c r="E64" s="462">
        <v>13.24</v>
      </c>
      <c r="F64" s="464">
        <v>7.47</v>
      </c>
      <c r="G64" s="529">
        <v>5.56</v>
      </c>
      <c r="H64" s="529">
        <v>6.04</v>
      </c>
      <c r="I64" s="529">
        <v>7.7</v>
      </c>
      <c r="J64" s="529">
        <v>8.89</v>
      </c>
      <c r="K64" s="529">
        <v>5.36</v>
      </c>
      <c r="L64" s="529">
        <v>2.71</v>
      </c>
    </row>
    <row r="65" spans="2:12" x14ac:dyDescent="0.25">
      <c r="B65" s="330" t="s">
        <v>217</v>
      </c>
      <c r="C65" s="462">
        <v>9.76</v>
      </c>
      <c r="D65" s="463">
        <v>8.44</v>
      </c>
      <c r="E65" s="462">
        <v>12.67</v>
      </c>
      <c r="F65" s="464">
        <v>7.47</v>
      </c>
      <c r="G65" s="529">
        <v>5.56</v>
      </c>
      <c r="H65" s="529">
        <v>6.04</v>
      </c>
      <c r="I65" s="529">
        <v>7.7</v>
      </c>
      <c r="J65" s="529">
        <v>8.89</v>
      </c>
      <c r="K65" s="529">
        <v>5.36</v>
      </c>
      <c r="L65" s="529">
        <v>2.71</v>
      </c>
    </row>
    <row r="66" spans="2:12" x14ac:dyDescent="0.25">
      <c r="B66" s="330" t="s">
        <v>220</v>
      </c>
      <c r="C66" s="462">
        <v>10.57</v>
      </c>
      <c r="D66" s="462">
        <v>8.44</v>
      </c>
      <c r="E66" s="462">
        <v>15.75</v>
      </c>
      <c r="F66" s="464">
        <v>7.82</v>
      </c>
      <c r="G66" s="529">
        <v>5.56</v>
      </c>
      <c r="H66" s="529">
        <v>6.04</v>
      </c>
      <c r="I66" s="529">
        <v>7.7</v>
      </c>
      <c r="J66" s="529">
        <v>8.89</v>
      </c>
      <c r="K66" s="529">
        <v>5.36</v>
      </c>
      <c r="L66" s="529">
        <v>2.71</v>
      </c>
    </row>
    <row r="67" spans="2:12" x14ac:dyDescent="0.25">
      <c r="B67" s="330" t="s">
        <v>222</v>
      </c>
      <c r="C67" s="462">
        <v>10.32</v>
      </c>
      <c r="D67" s="463">
        <v>8.44</v>
      </c>
      <c r="E67" s="462">
        <v>16.190000000000001</v>
      </c>
      <c r="F67" s="464">
        <v>8.89</v>
      </c>
      <c r="G67" s="529">
        <v>5.56</v>
      </c>
      <c r="H67" s="529">
        <v>6.04</v>
      </c>
      <c r="I67" s="529">
        <v>7.7</v>
      </c>
      <c r="J67" s="529">
        <v>8.89</v>
      </c>
      <c r="K67" s="529">
        <v>5.36</v>
      </c>
      <c r="L67" s="529">
        <v>2.71</v>
      </c>
    </row>
    <row r="68" spans="2:12" x14ac:dyDescent="0.25">
      <c r="B68" s="330" t="s">
        <v>224</v>
      </c>
      <c r="C68" s="462">
        <v>9.93</v>
      </c>
      <c r="D68" s="463">
        <v>8.44</v>
      </c>
      <c r="E68" s="462">
        <v>20.89</v>
      </c>
      <c r="F68" s="464">
        <v>7.87</v>
      </c>
      <c r="G68" s="529">
        <v>5.56</v>
      </c>
      <c r="H68" s="529">
        <v>6.04</v>
      </c>
      <c r="I68" s="529">
        <v>7.7</v>
      </c>
      <c r="J68" s="529">
        <v>8.89</v>
      </c>
      <c r="K68" s="529">
        <v>5.36</v>
      </c>
      <c r="L68" s="529">
        <v>2.71</v>
      </c>
    </row>
    <row r="69" spans="2:12" x14ac:dyDescent="0.25">
      <c r="B69" s="330" t="s">
        <v>226</v>
      </c>
      <c r="C69" s="462">
        <v>9.85</v>
      </c>
      <c r="D69" s="462">
        <v>8.44</v>
      </c>
      <c r="E69" s="462">
        <v>19.71</v>
      </c>
      <c r="F69" s="464">
        <v>7.87</v>
      </c>
      <c r="G69" s="529">
        <v>5.56</v>
      </c>
      <c r="H69" s="529">
        <v>6.04</v>
      </c>
      <c r="I69" s="529">
        <v>7.7</v>
      </c>
      <c r="J69" s="529">
        <v>8.89</v>
      </c>
      <c r="K69" s="529">
        <v>5.36</v>
      </c>
      <c r="L69" s="529">
        <v>2.71</v>
      </c>
    </row>
    <row r="70" spans="2:12" x14ac:dyDescent="0.25">
      <c r="B70" s="330" t="s">
        <v>228</v>
      </c>
      <c r="C70" s="462">
        <v>10.86</v>
      </c>
      <c r="D70" s="463">
        <v>8.44</v>
      </c>
      <c r="E70" s="462">
        <v>12.77</v>
      </c>
      <c r="F70" s="464">
        <v>7.82</v>
      </c>
      <c r="G70" s="529">
        <v>5.56</v>
      </c>
      <c r="H70" s="529">
        <v>6.04</v>
      </c>
      <c r="I70" s="529">
        <v>7.7</v>
      </c>
      <c r="J70" s="529">
        <v>8.89</v>
      </c>
      <c r="K70" s="529">
        <v>5.36</v>
      </c>
      <c r="L70" s="529">
        <v>2.71</v>
      </c>
    </row>
    <row r="71" spans="2:12" x14ac:dyDescent="0.25">
      <c r="B71" s="330" t="s">
        <v>230</v>
      </c>
      <c r="C71" s="462">
        <v>9.49</v>
      </c>
      <c r="D71" s="463">
        <v>8.44</v>
      </c>
      <c r="E71" s="462">
        <v>16.25</v>
      </c>
      <c r="F71" s="464">
        <v>7.47</v>
      </c>
      <c r="G71" s="529">
        <v>5.56</v>
      </c>
      <c r="H71" s="529">
        <v>6.04</v>
      </c>
      <c r="I71" s="529">
        <v>7.7</v>
      </c>
      <c r="J71" s="529">
        <v>8.89</v>
      </c>
      <c r="K71" s="529">
        <v>5.36</v>
      </c>
      <c r="L71" s="529">
        <v>2.71</v>
      </c>
    </row>
    <row r="72" spans="2:12" x14ac:dyDescent="0.25">
      <c r="B72" s="330" t="s">
        <v>232</v>
      </c>
      <c r="C72" s="462">
        <v>11.06</v>
      </c>
      <c r="D72" s="462">
        <v>8.44</v>
      </c>
      <c r="E72" s="462">
        <v>11.15</v>
      </c>
      <c r="F72" s="464">
        <v>7.82</v>
      </c>
      <c r="G72" s="529">
        <v>5.56</v>
      </c>
      <c r="H72" s="529">
        <v>6.04</v>
      </c>
      <c r="I72" s="529">
        <v>7.7</v>
      </c>
      <c r="J72" s="529">
        <v>8.89</v>
      </c>
      <c r="K72" s="529">
        <v>5.36</v>
      </c>
      <c r="L72" s="529">
        <v>2.71</v>
      </c>
    </row>
    <row r="73" spans="2:12" x14ac:dyDescent="0.25">
      <c r="B73" s="330" t="s">
        <v>234</v>
      </c>
      <c r="C73" s="462">
        <v>10.95</v>
      </c>
      <c r="D73" s="463">
        <v>8.44</v>
      </c>
      <c r="E73" s="462">
        <v>16.649999999999999</v>
      </c>
      <c r="F73" s="464">
        <v>7.82</v>
      </c>
      <c r="G73" s="529">
        <v>5.56</v>
      </c>
      <c r="H73" s="529">
        <v>6.04</v>
      </c>
      <c r="I73" s="529">
        <v>7.7</v>
      </c>
      <c r="J73" s="529">
        <v>8.89</v>
      </c>
      <c r="K73" s="529">
        <v>5.36</v>
      </c>
      <c r="L73" s="529">
        <v>2.71</v>
      </c>
    </row>
    <row r="74" spans="2:12" x14ac:dyDescent="0.25">
      <c r="B74" s="330" t="s">
        <v>236</v>
      </c>
      <c r="C74" s="462">
        <v>10.23</v>
      </c>
      <c r="D74" s="463">
        <v>8.44</v>
      </c>
      <c r="E74" s="462">
        <v>16.079999999999998</v>
      </c>
      <c r="F74" s="464">
        <v>8.89</v>
      </c>
      <c r="G74" s="529">
        <v>5.56</v>
      </c>
      <c r="H74" s="529">
        <v>6.04</v>
      </c>
      <c r="I74" s="529">
        <v>7.7</v>
      </c>
      <c r="J74" s="529">
        <v>8.89</v>
      </c>
      <c r="K74" s="529">
        <v>5.36</v>
      </c>
      <c r="L74" s="529">
        <v>2.71</v>
      </c>
    </row>
    <row r="75" spans="2:12" x14ac:dyDescent="0.25">
      <c r="B75" s="330" t="s">
        <v>238</v>
      </c>
      <c r="C75" s="462">
        <v>10.06</v>
      </c>
      <c r="D75" s="462">
        <v>8.44</v>
      </c>
      <c r="E75" s="462">
        <v>17.93</v>
      </c>
      <c r="F75" s="464">
        <v>7.87</v>
      </c>
      <c r="G75" s="529">
        <v>5.56</v>
      </c>
      <c r="H75" s="529">
        <v>6.04</v>
      </c>
      <c r="I75" s="529">
        <v>7.7</v>
      </c>
      <c r="J75" s="529">
        <v>8.89</v>
      </c>
      <c r="K75" s="529">
        <v>5.36</v>
      </c>
      <c r="L75" s="529">
        <v>2.71</v>
      </c>
    </row>
    <row r="76" spans="2:12" x14ac:dyDescent="0.25">
      <c r="B76" s="330" t="s">
        <v>239</v>
      </c>
      <c r="C76" s="462">
        <v>11.58</v>
      </c>
      <c r="D76" s="463">
        <v>8.44</v>
      </c>
      <c r="E76" s="462">
        <v>12.06</v>
      </c>
      <c r="F76" s="464">
        <v>7.82</v>
      </c>
      <c r="G76" s="529">
        <v>5.56</v>
      </c>
      <c r="H76" s="529">
        <v>6.04</v>
      </c>
      <c r="I76" s="529">
        <v>7.7</v>
      </c>
      <c r="J76" s="529">
        <v>8.89</v>
      </c>
      <c r="K76" s="529">
        <v>5.36</v>
      </c>
      <c r="L76" s="529">
        <v>2.71</v>
      </c>
    </row>
    <row r="77" spans="2:12" x14ac:dyDescent="0.25">
      <c r="B77" s="330" t="s">
        <v>240</v>
      </c>
      <c r="C77" s="462">
        <v>9.18</v>
      </c>
      <c r="D77" s="463">
        <v>8.44</v>
      </c>
      <c r="E77" s="462">
        <v>19.13</v>
      </c>
      <c r="F77" s="464">
        <v>8.89</v>
      </c>
      <c r="G77" s="529">
        <v>5.56</v>
      </c>
      <c r="H77" s="529">
        <v>6.04</v>
      </c>
      <c r="I77" s="529">
        <v>7.7</v>
      </c>
      <c r="J77" s="529">
        <v>8.89</v>
      </c>
      <c r="K77" s="529">
        <v>5.36</v>
      </c>
      <c r="L77" s="529">
        <v>2.71</v>
      </c>
    </row>
    <row r="78" spans="2:12" x14ac:dyDescent="0.25">
      <c r="B78" s="330" t="s">
        <v>242</v>
      </c>
      <c r="C78" s="462">
        <v>10.87</v>
      </c>
      <c r="D78" s="462">
        <v>8.44</v>
      </c>
      <c r="E78" s="462">
        <v>17.03</v>
      </c>
      <c r="F78" s="464">
        <v>7.47</v>
      </c>
      <c r="G78" s="529">
        <v>5.56</v>
      </c>
      <c r="H78" s="529">
        <v>6.04</v>
      </c>
      <c r="I78" s="529">
        <v>7.7</v>
      </c>
      <c r="J78" s="529">
        <v>8.89</v>
      </c>
      <c r="K78" s="529">
        <v>5.36</v>
      </c>
      <c r="L78" s="529">
        <v>2.71</v>
      </c>
    </row>
    <row r="79" spans="2:12" ht="13" thickBot="1" x14ac:dyDescent="0.3">
      <c r="B79" s="331" t="s">
        <v>243</v>
      </c>
      <c r="C79" s="465">
        <v>10.69</v>
      </c>
      <c r="D79" s="465">
        <v>8.44</v>
      </c>
      <c r="E79" s="465">
        <v>18.18</v>
      </c>
      <c r="F79" s="466">
        <v>8.89</v>
      </c>
      <c r="G79" s="529">
        <v>5.56</v>
      </c>
      <c r="H79" s="529">
        <v>6.04</v>
      </c>
      <c r="I79" s="529">
        <v>7.7</v>
      </c>
      <c r="J79" s="529">
        <v>8.89</v>
      </c>
      <c r="K79" s="529">
        <v>5.36</v>
      </c>
      <c r="L79" s="529">
        <v>2.71</v>
      </c>
    </row>
    <row r="80" spans="2:12" ht="13" x14ac:dyDescent="0.3">
      <c r="B80" s="336"/>
      <c r="C80" s="34"/>
      <c r="D80" s="34"/>
      <c r="E80" s="34"/>
    </row>
    <row r="81" spans="2:22" ht="13" x14ac:dyDescent="0.3">
      <c r="B81" s="3"/>
    </row>
    <row r="82" spans="2:22" ht="15.5" x14ac:dyDescent="0.35">
      <c r="B82" s="184" t="s">
        <v>578</v>
      </c>
    </row>
    <row r="83" spans="2:22" x14ac:dyDescent="0.25">
      <c r="B83" s="11" t="s">
        <v>579</v>
      </c>
    </row>
    <row r="84" spans="2:22" ht="13.5" thickBot="1" x14ac:dyDescent="0.35">
      <c r="B84" s="3"/>
    </row>
    <row r="85" spans="2:22" ht="13" x14ac:dyDescent="0.3">
      <c r="B85" s="754" t="s">
        <v>580</v>
      </c>
      <c r="C85" s="755"/>
      <c r="D85" s="755"/>
      <c r="E85" s="755"/>
      <c r="F85" s="755"/>
      <c r="G85" s="755"/>
      <c r="H85" s="755"/>
      <c r="I85" s="755"/>
      <c r="J85" s="755"/>
      <c r="K85" s="755"/>
      <c r="L85" s="755"/>
      <c r="M85" s="755"/>
      <c r="N85" s="755"/>
      <c r="O85" s="755"/>
      <c r="P85" s="755"/>
      <c r="Q85" s="755"/>
      <c r="R85" s="755"/>
      <c r="S85" s="755"/>
      <c r="T85" s="755"/>
      <c r="U85" s="755"/>
      <c r="V85" s="756"/>
    </row>
    <row r="86" spans="2:22" ht="13" x14ac:dyDescent="0.3">
      <c r="B86" s="340"/>
      <c r="C86" s="752" t="s">
        <v>581</v>
      </c>
      <c r="D86" s="752"/>
      <c r="E86" s="752"/>
      <c r="F86" s="752"/>
      <c r="G86" s="752"/>
      <c r="H86" s="752"/>
      <c r="I86" s="752"/>
      <c r="J86" s="752"/>
      <c r="K86" s="752"/>
      <c r="L86" s="752"/>
      <c r="M86" s="752"/>
      <c r="N86" s="752"/>
      <c r="O86" s="752"/>
      <c r="P86" s="752"/>
      <c r="Q86" s="752"/>
      <c r="R86" s="752"/>
      <c r="S86" s="752"/>
      <c r="T86" s="752"/>
      <c r="U86" s="752"/>
      <c r="V86" s="753"/>
    </row>
    <row r="87" spans="2:22" ht="13" x14ac:dyDescent="0.3">
      <c r="B87" s="340"/>
      <c r="C87" s="750" t="s">
        <v>582</v>
      </c>
      <c r="D87" s="750"/>
      <c r="E87" s="750"/>
      <c r="F87" s="750"/>
      <c r="G87" s="750"/>
      <c r="H87" s="751" t="s">
        <v>583</v>
      </c>
      <c r="I87" s="751"/>
      <c r="J87" s="751"/>
      <c r="K87" s="751"/>
      <c r="L87" s="751"/>
      <c r="M87" s="751"/>
      <c r="N87" s="751"/>
      <c r="O87" s="751"/>
      <c r="P87" s="751"/>
      <c r="Q87" s="751"/>
      <c r="R87" s="751"/>
      <c r="S87" s="750" t="s">
        <v>584</v>
      </c>
      <c r="T87" s="750"/>
      <c r="U87" s="750"/>
      <c r="V87" s="341"/>
    </row>
    <row r="88" spans="2:22" ht="13" x14ac:dyDescent="0.3">
      <c r="B88" s="340" t="s">
        <v>585</v>
      </c>
      <c r="C88" s="486" t="s">
        <v>586</v>
      </c>
      <c r="D88" s="486">
        <v>11</v>
      </c>
      <c r="E88" s="486">
        <v>12</v>
      </c>
      <c r="F88" s="486">
        <v>13</v>
      </c>
      <c r="G88" s="486">
        <v>14</v>
      </c>
      <c r="H88" s="487">
        <v>15</v>
      </c>
      <c r="I88" s="487">
        <v>16</v>
      </c>
      <c r="J88" s="487">
        <v>17</v>
      </c>
      <c r="K88" s="487">
        <v>18</v>
      </c>
      <c r="L88" s="487">
        <v>19</v>
      </c>
      <c r="M88" s="487">
        <v>20</v>
      </c>
      <c r="N88" s="487">
        <v>21</v>
      </c>
      <c r="O88" s="487">
        <v>22</v>
      </c>
      <c r="P88" s="487">
        <v>23</v>
      </c>
      <c r="Q88" s="487">
        <v>24</v>
      </c>
      <c r="R88" s="487">
        <v>25</v>
      </c>
      <c r="S88" s="486">
        <v>26</v>
      </c>
      <c r="T88" s="486">
        <v>27</v>
      </c>
      <c r="U88" s="486" t="s">
        <v>587</v>
      </c>
      <c r="V88" s="342" t="s">
        <v>588</v>
      </c>
    </row>
    <row r="89" spans="2:22" x14ac:dyDescent="0.25">
      <c r="B89" s="374" t="s">
        <v>262</v>
      </c>
      <c r="C89" s="581">
        <v>0.01</v>
      </c>
      <c r="D89" s="581">
        <v>0.01</v>
      </c>
      <c r="E89" s="581">
        <v>0.01</v>
      </c>
      <c r="F89" s="581">
        <v>0.01</v>
      </c>
      <c r="G89" s="581">
        <v>0.01</v>
      </c>
      <c r="H89" s="581">
        <v>1.4999999999999999E-2</v>
      </c>
      <c r="I89" s="581">
        <v>1.4999999999999999E-2</v>
      </c>
      <c r="J89" s="581">
        <v>1.4999999999999999E-2</v>
      </c>
      <c r="K89" s="581">
        <v>1.4999999999999999E-2</v>
      </c>
      <c r="L89" s="581">
        <v>1.4999999999999999E-2</v>
      </c>
      <c r="M89" s="581">
        <v>1.4999999999999999E-2</v>
      </c>
      <c r="N89" s="581">
        <v>1.4999999999999999E-2</v>
      </c>
      <c r="O89" s="581">
        <v>1.4999999999999999E-2</v>
      </c>
      <c r="P89" s="581">
        <v>1.4999999999999999E-2</v>
      </c>
      <c r="Q89" s="581">
        <v>1.4999999999999999E-2</v>
      </c>
      <c r="R89" s="581">
        <v>1.4999999999999999E-2</v>
      </c>
      <c r="S89" s="581">
        <v>0.02</v>
      </c>
      <c r="T89" s="581">
        <v>0.02</v>
      </c>
      <c r="U89" s="581">
        <v>0.02</v>
      </c>
      <c r="V89" s="343" t="s">
        <v>589</v>
      </c>
    </row>
    <row r="90" spans="2:22" x14ac:dyDescent="0.25">
      <c r="B90" s="374" t="s">
        <v>264</v>
      </c>
      <c r="C90" s="581">
        <v>1E-3</v>
      </c>
      <c r="D90" s="581">
        <v>1E-3</v>
      </c>
      <c r="E90" s="581">
        <v>1E-3</v>
      </c>
      <c r="F90" s="581">
        <v>1E-3</v>
      </c>
      <c r="G90" s="581">
        <v>1E-3</v>
      </c>
      <c r="H90" s="581">
        <v>5.0000000000000001E-3</v>
      </c>
      <c r="I90" s="581">
        <v>5.0000000000000001E-3</v>
      </c>
      <c r="J90" s="581">
        <v>5.0000000000000001E-3</v>
      </c>
      <c r="K90" s="581">
        <v>5.0000000000000001E-3</v>
      </c>
      <c r="L90" s="581">
        <v>5.0000000000000001E-3</v>
      </c>
      <c r="M90" s="581">
        <v>5.0000000000000001E-3</v>
      </c>
      <c r="N90" s="581">
        <v>5.0000000000000001E-3</v>
      </c>
      <c r="O90" s="581">
        <v>5.0000000000000001E-3</v>
      </c>
      <c r="P90" s="581">
        <v>5.0000000000000001E-3</v>
      </c>
      <c r="Q90" s="581">
        <v>5.0000000000000001E-3</v>
      </c>
      <c r="R90" s="581">
        <v>5.0000000000000001E-3</v>
      </c>
      <c r="S90" s="581">
        <v>0.01</v>
      </c>
      <c r="T90" s="581">
        <v>0.01</v>
      </c>
      <c r="U90" s="581">
        <v>0.01</v>
      </c>
      <c r="V90" s="343" t="s">
        <v>590</v>
      </c>
    </row>
    <row r="91" spans="2:22" ht="37.5" x14ac:dyDescent="0.25">
      <c r="B91" s="374" t="s">
        <v>266</v>
      </c>
      <c r="C91" s="581">
        <v>0.02</v>
      </c>
      <c r="D91" s="581">
        <v>0.02</v>
      </c>
      <c r="E91" s="581">
        <v>0.02</v>
      </c>
      <c r="F91" s="581">
        <v>0.02</v>
      </c>
      <c r="G91" s="581">
        <v>0.02</v>
      </c>
      <c r="H91" s="581">
        <v>0.04</v>
      </c>
      <c r="I91" s="581">
        <v>0.04</v>
      </c>
      <c r="J91" s="581">
        <v>0.04</v>
      </c>
      <c r="K91" s="581">
        <v>0.04</v>
      </c>
      <c r="L91" s="581">
        <v>0.04</v>
      </c>
      <c r="M91" s="581">
        <v>0.04</v>
      </c>
      <c r="N91" s="581">
        <v>0.04</v>
      </c>
      <c r="O91" s="581">
        <v>0.04</v>
      </c>
      <c r="P91" s="581">
        <v>0.04</v>
      </c>
      <c r="Q91" s="581">
        <v>0.04</v>
      </c>
      <c r="R91" s="581">
        <v>0.04</v>
      </c>
      <c r="S91" s="581">
        <v>0.05</v>
      </c>
      <c r="T91" s="581">
        <v>0.05</v>
      </c>
      <c r="U91" s="581">
        <v>0.05</v>
      </c>
      <c r="V91" s="343" t="s">
        <v>591</v>
      </c>
    </row>
    <row r="92" spans="2:22" x14ac:dyDescent="0.25">
      <c r="B92" s="374" t="s">
        <v>267</v>
      </c>
      <c r="C92" s="581">
        <v>0.01</v>
      </c>
      <c r="D92" s="581">
        <v>0.01</v>
      </c>
      <c r="E92" s="581">
        <v>0.01</v>
      </c>
      <c r="F92" s="581">
        <v>0.01</v>
      </c>
      <c r="G92" s="581">
        <v>0.01</v>
      </c>
      <c r="H92" s="581">
        <v>1.4999999999999999E-2</v>
      </c>
      <c r="I92" s="581">
        <v>1.4999999999999999E-2</v>
      </c>
      <c r="J92" s="581">
        <v>1.4999999999999999E-2</v>
      </c>
      <c r="K92" s="581">
        <v>1.4999999999999999E-2</v>
      </c>
      <c r="L92" s="581">
        <v>1.4999999999999999E-2</v>
      </c>
      <c r="M92" s="581">
        <v>1.4999999999999999E-2</v>
      </c>
      <c r="N92" s="581">
        <v>1.4999999999999999E-2</v>
      </c>
      <c r="O92" s="581">
        <v>1.4999999999999999E-2</v>
      </c>
      <c r="P92" s="581">
        <v>1.4999999999999999E-2</v>
      </c>
      <c r="Q92" s="581">
        <v>1.4999999999999999E-2</v>
      </c>
      <c r="R92" s="581">
        <v>1.4999999999999999E-2</v>
      </c>
      <c r="S92" s="581">
        <v>0.02</v>
      </c>
      <c r="T92" s="581">
        <v>0.02</v>
      </c>
      <c r="U92" s="581">
        <v>0.02</v>
      </c>
      <c r="V92" s="343" t="s">
        <v>589</v>
      </c>
    </row>
    <row r="93" spans="2:22" ht="37.5" x14ac:dyDescent="0.25">
      <c r="B93" s="374" t="s">
        <v>592</v>
      </c>
      <c r="C93" s="581">
        <v>0.1</v>
      </c>
      <c r="D93" s="581">
        <v>0.11</v>
      </c>
      <c r="E93" s="581">
        <v>0.13</v>
      </c>
      <c r="F93" s="581">
        <v>0.14000000000000001</v>
      </c>
      <c r="G93" s="581">
        <v>0.15</v>
      </c>
      <c r="H93" s="581">
        <v>0.17</v>
      </c>
      <c r="I93" s="581">
        <v>0.18</v>
      </c>
      <c r="J93" s="581">
        <v>0.2</v>
      </c>
      <c r="K93" s="581">
        <v>0.22</v>
      </c>
      <c r="L93" s="581">
        <v>0.24</v>
      </c>
      <c r="M93" s="581">
        <v>0.26</v>
      </c>
      <c r="N93" s="581">
        <v>0.28999999999999998</v>
      </c>
      <c r="O93" s="581">
        <v>0.31</v>
      </c>
      <c r="P93" s="581">
        <v>0.34</v>
      </c>
      <c r="Q93" s="581">
        <v>0.37</v>
      </c>
      <c r="R93" s="581">
        <v>0.41</v>
      </c>
      <c r="S93" s="581">
        <v>0.44</v>
      </c>
      <c r="T93" s="581">
        <v>0.48</v>
      </c>
      <c r="U93" s="581">
        <v>0.5</v>
      </c>
      <c r="V93" s="343" t="s">
        <v>593</v>
      </c>
    </row>
    <row r="94" spans="2:22" x14ac:dyDescent="0.25">
      <c r="B94" s="374" t="s">
        <v>594</v>
      </c>
      <c r="C94" s="581">
        <v>0.17</v>
      </c>
      <c r="D94" s="581">
        <v>0.19</v>
      </c>
      <c r="E94" s="581">
        <v>0.2</v>
      </c>
      <c r="F94" s="581">
        <v>0.22</v>
      </c>
      <c r="G94" s="581">
        <v>0.25</v>
      </c>
      <c r="H94" s="581">
        <v>0.27</v>
      </c>
      <c r="I94" s="581">
        <v>0.28999999999999998</v>
      </c>
      <c r="J94" s="581">
        <v>0.32</v>
      </c>
      <c r="K94" s="581">
        <v>0.35</v>
      </c>
      <c r="L94" s="581">
        <v>0.39</v>
      </c>
      <c r="M94" s="581">
        <v>0.42</v>
      </c>
      <c r="N94" s="581">
        <v>0.46</v>
      </c>
      <c r="O94" s="581">
        <v>0.5</v>
      </c>
      <c r="P94" s="581">
        <v>0.55000000000000004</v>
      </c>
      <c r="Q94" s="581">
        <v>0.6</v>
      </c>
      <c r="R94" s="581">
        <v>0.65</v>
      </c>
      <c r="S94" s="581">
        <v>0.71</v>
      </c>
      <c r="T94" s="581">
        <v>0.78</v>
      </c>
      <c r="U94" s="581">
        <v>0.8</v>
      </c>
      <c r="V94" s="343" t="s">
        <v>595</v>
      </c>
    </row>
    <row r="95" spans="2:22" ht="37.5" x14ac:dyDescent="0.25">
      <c r="B95" s="374" t="s">
        <v>259</v>
      </c>
      <c r="C95" s="581">
        <v>0.66</v>
      </c>
      <c r="D95" s="581">
        <v>0.68</v>
      </c>
      <c r="E95" s="581">
        <v>0.7</v>
      </c>
      <c r="F95" s="581">
        <v>0.71</v>
      </c>
      <c r="G95" s="581">
        <v>0.73</v>
      </c>
      <c r="H95" s="581">
        <v>0.74</v>
      </c>
      <c r="I95" s="581">
        <v>0.75</v>
      </c>
      <c r="J95" s="581">
        <v>0.76</v>
      </c>
      <c r="K95" s="581">
        <v>0.77</v>
      </c>
      <c r="L95" s="581">
        <v>0.77</v>
      </c>
      <c r="M95" s="581">
        <v>0.78</v>
      </c>
      <c r="N95" s="581">
        <v>0.78</v>
      </c>
      <c r="O95" s="581">
        <v>0.78</v>
      </c>
      <c r="P95" s="581">
        <v>0.79</v>
      </c>
      <c r="Q95" s="581">
        <v>0.79</v>
      </c>
      <c r="R95" s="581">
        <v>0.79</v>
      </c>
      <c r="S95" s="581">
        <v>0.79</v>
      </c>
      <c r="T95" s="581">
        <v>0.8</v>
      </c>
      <c r="U95" s="581">
        <v>0.8</v>
      </c>
      <c r="V95" s="343" t="s">
        <v>596</v>
      </c>
    </row>
    <row r="96" spans="2:22" ht="25" x14ac:dyDescent="0.25">
      <c r="B96" s="374" t="s">
        <v>268</v>
      </c>
      <c r="C96" s="581">
        <v>0.03</v>
      </c>
      <c r="D96" s="581">
        <v>0.03</v>
      </c>
      <c r="E96" s="581">
        <v>0.03</v>
      </c>
      <c r="F96" s="581">
        <v>0.03</v>
      </c>
      <c r="G96" s="581">
        <v>0.03</v>
      </c>
      <c r="H96" s="581">
        <v>0.03</v>
      </c>
      <c r="I96" s="581">
        <v>0.03</v>
      </c>
      <c r="J96" s="581">
        <v>0.03</v>
      </c>
      <c r="K96" s="581">
        <v>0.03</v>
      </c>
      <c r="L96" s="581">
        <v>0.03</v>
      </c>
      <c r="M96" s="581">
        <v>0.03</v>
      </c>
      <c r="N96" s="581">
        <v>0.03</v>
      </c>
      <c r="O96" s="581">
        <v>0.03</v>
      </c>
      <c r="P96" s="581">
        <v>0.03</v>
      </c>
      <c r="Q96" s="581">
        <v>0.03</v>
      </c>
      <c r="R96" s="581">
        <v>0.03</v>
      </c>
      <c r="S96" s="581">
        <v>0.03</v>
      </c>
      <c r="T96" s="581">
        <v>0.03</v>
      </c>
      <c r="U96" s="581">
        <v>0.03</v>
      </c>
      <c r="V96" s="343" t="s">
        <v>597</v>
      </c>
    </row>
    <row r="97" spans="2:22" ht="25" x14ac:dyDescent="0.25">
      <c r="B97" s="375" t="s">
        <v>269</v>
      </c>
      <c r="C97" s="582">
        <v>0.17</v>
      </c>
      <c r="D97" s="582">
        <v>0.19</v>
      </c>
      <c r="E97" s="582">
        <v>0.2</v>
      </c>
      <c r="F97" s="582">
        <v>0.22</v>
      </c>
      <c r="G97" s="582">
        <v>0.25</v>
      </c>
      <c r="H97" s="582">
        <v>0.27</v>
      </c>
      <c r="I97" s="582">
        <v>0.28999999999999998</v>
      </c>
      <c r="J97" s="582">
        <v>0.32</v>
      </c>
      <c r="K97" s="582">
        <v>0.35</v>
      </c>
      <c r="L97" s="582">
        <v>0.39</v>
      </c>
      <c r="M97" s="582">
        <v>0.42</v>
      </c>
      <c r="N97" s="582">
        <v>0.46</v>
      </c>
      <c r="O97" s="582">
        <v>0.5</v>
      </c>
      <c r="P97" s="582">
        <v>0.55000000000000004</v>
      </c>
      <c r="Q97" s="582">
        <v>0.6</v>
      </c>
      <c r="R97" s="582">
        <v>0.65</v>
      </c>
      <c r="S97" s="582">
        <v>0.71</v>
      </c>
      <c r="T97" s="582">
        <v>0.78</v>
      </c>
      <c r="U97" s="582">
        <v>0.8</v>
      </c>
      <c r="V97" s="343" t="s">
        <v>598</v>
      </c>
    </row>
    <row r="98" spans="2:22" ht="25" x14ac:dyDescent="0.25">
      <c r="B98" s="374" t="s">
        <v>599</v>
      </c>
      <c r="C98" s="581" t="s">
        <v>600</v>
      </c>
      <c r="D98" s="581" t="s">
        <v>600</v>
      </c>
      <c r="E98" s="581" t="s">
        <v>600</v>
      </c>
      <c r="F98" s="581" t="s">
        <v>600</v>
      </c>
      <c r="G98" s="581" t="s">
        <v>600</v>
      </c>
      <c r="H98" s="581" t="s">
        <v>600</v>
      </c>
      <c r="I98" s="581" t="s">
        <v>600</v>
      </c>
      <c r="J98" s="581" t="s">
        <v>600</v>
      </c>
      <c r="K98" s="581" t="s">
        <v>600</v>
      </c>
      <c r="L98" s="581" t="s">
        <v>600</v>
      </c>
      <c r="M98" s="581" t="s">
        <v>600</v>
      </c>
      <c r="N98" s="581" t="s">
        <v>600</v>
      </c>
      <c r="O98" s="581" t="s">
        <v>600</v>
      </c>
      <c r="P98" s="581" t="s">
        <v>600</v>
      </c>
      <c r="Q98" s="581" t="s">
        <v>600</v>
      </c>
      <c r="R98" s="581" t="s">
        <v>600</v>
      </c>
      <c r="S98" s="581" t="s">
        <v>600</v>
      </c>
      <c r="T98" s="581" t="s">
        <v>600</v>
      </c>
      <c r="U98" s="581" t="s">
        <v>600</v>
      </c>
      <c r="V98" s="343" t="s">
        <v>601</v>
      </c>
    </row>
    <row r="99" spans="2:22" x14ac:dyDescent="0.25">
      <c r="B99" s="374" t="s">
        <v>275</v>
      </c>
      <c r="C99" s="581">
        <v>0.1</v>
      </c>
      <c r="D99" s="581">
        <v>0.1</v>
      </c>
      <c r="E99" s="581">
        <v>0.1</v>
      </c>
      <c r="F99" s="581">
        <v>0.1</v>
      </c>
      <c r="G99" s="581">
        <v>0.1</v>
      </c>
      <c r="H99" s="581">
        <v>0.1</v>
      </c>
      <c r="I99" s="581">
        <v>0.1</v>
      </c>
      <c r="J99" s="581">
        <v>0.1</v>
      </c>
      <c r="K99" s="581">
        <v>0.1</v>
      </c>
      <c r="L99" s="581">
        <v>0.1</v>
      </c>
      <c r="M99" s="581">
        <v>0.1</v>
      </c>
      <c r="N99" s="581">
        <v>0.1</v>
      </c>
      <c r="O99" s="581">
        <v>0.1</v>
      </c>
      <c r="P99" s="581">
        <v>0.1</v>
      </c>
      <c r="Q99" s="581">
        <v>0.1</v>
      </c>
      <c r="R99" s="581">
        <v>0.1</v>
      </c>
      <c r="S99" s="581">
        <v>0.1</v>
      </c>
      <c r="T99" s="581">
        <v>0.1</v>
      </c>
      <c r="U99" s="581">
        <v>0.1</v>
      </c>
      <c r="V99" s="343" t="s">
        <v>602</v>
      </c>
    </row>
    <row r="100" spans="2:22" ht="25" x14ac:dyDescent="0.25">
      <c r="B100" s="374" t="s">
        <v>603</v>
      </c>
      <c r="C100" s="581">
        <v>0.03</v>
      </c>
      <c r="D100" s="581">
        <v>0.03</v>
      </c>
      <c r="E100" s="581">
        <v>0.03</v>
      </c>
      <c r="F100" s="581">
        <v>0.03</v>
      </c>
      <c r="G100" s="581">
        <v>0.03</v>
      </c>
      <c r="H100" s="581">
        <v>0.03</v>
      </c>
      <c r="I100" s="581">
        <v>0.03</v>
      </c>
      <c r="J100" s="581">
        <v>0.03</v>
      </c>
      <c r="K100" s="581">
        <v>0.03</v>
      </c>
      <c r="L100" s="581">
        <v>0.03</v>
      </c>
      <c r="M100" s="581">
        <v>0.03</v>
      </c>
      <c r="N100" s="581">
        <v>0.03</v>
      </c>
      <c r="O100" s="581">
        <v>0.03</v>
      </c>
      <c r="P100" s="581">
        <v>0.03</v>
      </c>
      <c r="Q100" s="581">
        <v>0.03</v>
      </c>
      <c r="R100" s="581">
        <v>0.03</v>
      </c>
      <c r="S100" s="581">
        <v>0.3</v>
      </c>
      <c r="T100" s="581">
        <v>0.3</v>
      </c>
      <c r="U100" s="581">
        <v>0.3</v>
      </c>
      <c r="V100" s="343" t="s">
        <v>604</v>
      </c>
    </row>
    <row r="101" spans="2:22" ht="25" x14ac:dyDescent="0.25">
      <c r="B101" s="374" t="s">
        <v>605</v>
      </c>
      <c r="C101" s="581">
        <v>0.17</v>
      </c>
      <c r="D101" s="581">
        <v>0.19</v>
      </c>
      <c r="E101" s="581">
        <v>0.2</v>
      </c>
      <c r="F101" s="581">
        <v>0.22</v>
      </c>
      <c r="G101" s="581">
        <v>0.25</v>
      </c>
      <c r="H101" s="581">
        <v>0.27</v>
      </c>
      <c r="I101" s="581">
        <v>0.28999999999999998</v>
      </c>
      <c r="J101" s="581">
        <v>0.32</v>
      </c>
      <c r="K101" s="581">
        <v>0.35</v>
      </c>
      <c r="L101" s="581">
        <v>0.39</v>
      </c>
      <c r="M101" s="581">
        <v>0.42</v>
      </c>
      <c r="N101" s="581">
        <v>0.46</v>
      </c>
      <c r="O101" s="581">
        <v>0.5</v>
      </c>
      <c r="P101" s="581">
        <v>0.55000000000000004</v>
      </c>
      <c r="Q101" s="581">
        <v>0.6</v>
      </c>
      <c r="R101" s="581">
        <v>0.65</v>
      </c>
      <c r="S101" s="581">
        <v>0.71</v>
      </c>
      <c r="T101" s="581">
        <v>0.78</v>
      </c>
      <c r="U101" s="581">
        <v>0.9</v>
      </c>
      <c r="V101" s="343" t="s">
        <v>606</v>
      </c>
    </row>
    <row r="102" spans="2:22" ht="25" x14ac:dyDescent="0.25">
      <c r="B102" s="374" t="s">
        <v>272</v>
      </c>
      <c r="C102" s="581">
        <v>5.0000000000000001E-3</v>
      </c>
      <c r="D102" s="581">
        <v>5.0000000000000001E-3</v>
      </c>
      <c r="E102" s="581">
        <v>5.0000000000000001E-3</v>
      </c>
      <c r="F102" s="581">
        <v>5.0000000000000001E-3</v>
      </c>
      <c r="G102" s="581">
        <v>5.0000000000000001E-3</v>
      </c>
      <c r="H102" s="581">
        <v>5.0000000000000001E-3</v>
      </c>
      <c r="I102" s="581">
        <v>5.0000000000000001E-3</v>
      </c>
      <c r="J102" s="581">
        <v>5.0000000000000001E-3</v>
      </c>
      <c r="K102" s="581">
        <v>5.0000000000000001E-3</v>
      </c>
      <c r="L102" s="581">
        <v>5.0000000000000001E-3</v>
      </c>
      <c r="M102" s="581">
        <v>5.0000000000000001E-3</v>
      </c>
      <c r="N102" s="581">
        <v>5.0000000000000001E-3</v>
      </c>
      <c r="O102" s="581">
        <v>5.0000000000000001E-3</v>
      </c>
      <c r="P102" s="581">
        <v>5.0000000000000001E-3</v>
      </c>
      <c r="Q102" s="581">
        <v>5.0000000000000001E-3</v>
      </c>
      <c r="R102" s="581">
        <v>5.0000000000000001E-3</v>
      </c>
      <c r="S102" s="581">
        <v>5.0000000000000001E-3</v>
      </c>
      <c r="T102" s="581">
        <v>5.0000000000000001E-3</v>
      </c>
      <c r="U102" s="581">
        <v>5.0000000000000001E-3</v>
      </c>
      <c r="V102" s="343" t="s">
        <v>607</v>
      </c>
    </row>
    <row r="103" spans="2:22" ht="25" x14ac:dyDescent="0.25">
      <c r="B103" s="374" t="s">
        <v>273</v>
      </c>
      <c r="C103" s="581">
        <v>5.0000000000000001E-3</v>
      </c>
      <c r="D103" s="581">
        <v>5.0000000000000001E-3</v>
      </c>
      <c r="E103" s="581">
        <v>5.0000000000000001E-3</v>
      </c>
      <c r="F103" s="581">
        <v>5.0000000000000001E-3</v>
      </c>
      <c r="G103" s="581">
        <v>5.0000000000000001E-3</v>
      </c>
      <c r="H103" s="581">
        <v>0.01</v>
      </c>
      <c r="I103" s="581">
        <v>0.01</v>
      </c>
      <c r="J103" s="581">
        <v>0.01</v>
      </c>
      <c r="K103" s="581">
        <v>0.01</v>
      </c>
      <c r="L103" s="581">
        <v>0.01</v>
      </c>
      <c r="M103" s="581">
        <v>0.01</v>
      </c>
      <c r="N103" s="581">
        <v>0.01</v>
      </c>
      <c r="O103" s="581">
        <v>0.01</v>
      </c>
      <c r="P103" s="581">
        <v>0.01</v>
      </c>
      <c r="Q103" s="581">
        <v>0.01</v>
      </c>
      <c r="R103" s="581">
        <v>0.01</v>
      </c>
      <c r="S103" s="581">
        <v>1.4999999999999999E-2</v>
      </c>
      <c r="T103" s="581">
        <v>1.4999999999999999E-2</v>
      </c>
      <c r="U103" s="581">
        <v>1.4999999999999999E-2</v>
      </c>
      <c r="V103" s="343" t="s">
        <v>608</v>
      </c>
    </row>
    <row r="104" spans="2:22" ht="38" thickBot="1" x14ac:dyDescent="0.3">
      <c r="B104" s="376" t="s">
        <v>274</v>
      </c>
      <c r="C104" s="583">
        <v>0</v>
      </c>
      <c r="D104" s="583">
        <v>0</v>
      </c>
      <c r="E104" s="583">
        <v>0</v>
      </c>
      <c r="F104" s="583">
        <v>0</v>
      </c>
      <c r="G104" s="583">
        <v>0</v>
      </c>
      <c r="H104" s="583">
        <v>0</v>
      </c>
      <c r="I104" s="583">
        <v>0</v>
      </c>
      <c r="J104" s="583">
        <v>0</v>
      </c>
      <c r="K104" s="583">
        <v>0</v>
      </c>
      <c r="L104" s="583">
        <v>0</v>
      </c>
      <c r="M104" s="583">
        <v>0</v>
      </c>
      <c r="N104" s="583">
        <v>0</v>
      </c>
      <c r="O104" s="583">
        <v>0</v>
      </c>
      <c r="P104" s="583">
        <v>0</v>
      </c>
      <c r="Q104" s="583">
        <v>0</v>
      </c>
      <c r="R104" s="583">
        <v>0</v>
      </c>
      <c r="S104" s="583">
        <v>0</v>
      </c>
      <c r="T104" s="583">
        <v>0</v>
      </c>
      <c r="U104" s="583">
        <v>0</v>
      </c>
      <c r="V104" s="344" t="s">
        <v>609</v>
      </c>
    </row>
    <row r="105" spans="2:22" ht="13" x14ac:dyDescent="0.3">
      <c r="B105" s="3"/>
    </row>
    <row r="106" spans="2:22" ht="15.5" x14ac:dyDescent="0.25">
      <c r="B106" s="351" t="s">
        <v>610</v>
      </c>
    </row>
    <row r="107" spans="2:22" ht="45" customHeight="1" thickBot="1" x14ac:dyDescent="0.3">
      <c r="B107" s="761" t="s">
        <v>611</v>
      </c>
      <c r="C107" s="761"/>
      <c r="D107" s="761"/>
      <c r="E107" s="761"/>
    </row>
    <row r="108" spans="2:22" ht="26" x14ac:dyDescent="0.3">
      <c r="B108" s="470" t="s">
        <v>612</v>
      </c>
      <c r="C108" s="471" t="s">
        <v>613</v>
      </c>
    </row>
    <row r="109" spans="2:22" x14ac:dyDescent="0.25">
      <c r="B109" s="467" t="s">
        <v>614</v>
      </c>
      <c r="C109" s="468">
        <v>0.96</v>
      </c>
    </row>
    <row r="110" spans="2:22" x14ac:dyDescent="0.25">
      <c r="B110" s="467" t="s">
        <v>615</v>
      </c>
      <c r="C110" s="468">
        <v>0.995</v>
      </c>
    </row>
    <row r="111" spans="2:22" x14ac:dyDescent="0.25">
      <c r="B111" s="482" t="s">
        <v>616</v>
      </c>
      <c r="C111" s="468">
        <v>0.93600000000000005</v>
      </c>
    </row>
    <row r="112" spans="2:22" x14ac:dyDescent="0.25">
      <c r="B112" s="467" t="s">
        <v>617</v>
      </c>
      <c r="C112" s="468">
        <v>0.995</v>
      </c>
    </row>
    <row r="113" spans="2:24" x14ac:dyDescent="0.25">
      <c r="B113" s="467" t="s">
        <v>618</v>
      </c>
      <c r="C113" s="468">
        <v>0.98</v>
      </c>
    </row>
    <row r="114" spans="2:24" x14ac:dyDescent="0.25">
      <c r="B114" s="467" t="s">
        <v>619</v>
      </c>
      <c r="C114" s="468">
        <v>0.995</v>
      </c>
    </row>
    <row r="115" spans="2:24" ht="25" x14ac:dyDescent="0.25">
      <c r="B115" s="467" t="s">
        <v>620</v>
      </c>
      <c r="C115" s="468">
        <v>0.95</v>
      </c>
    </row>
    <row r="116" spans="2:24" ht="25" x14ac:dyDescent="0.25">
      <c r="B116" s="467" t="s">
        <v>621</v>
      </c>
      <c r="C116" s="468">
        <v>0.98</v>
      </c>
    </row>
    <row r="117" spans="2:24" ht="25.5" thickBot="1" x14ac:dyDescent="0.3">
      <c r="B117" s="469" t="s">
        <v>622</v>
      </c>
      <c r="C117" s="472" t="s">
        <v>623</v>
      </c>
    </row>
    <row r="118" spans="2:24" ht="13" x14ac:dyDescent="0.25">
      <c r="B118" s="128"/>
      <c r="C118" s="57"/>
      <c r="D118" s="57"/>
    </row>
    <row r="119" spans="2:24" ht="15.5" x14ac:dyDescent="0.3">
      <c r="B119" s="351" t="s">
        <v>624</v>
      </c>
      <c r="C119" s="345"/>
      <c r="D119" s="345"/>
      <c r="E119" s="3"/>
      <c r="F119" s="3"/>
      <c r="G119" s="3"/>
      <c r="H119" s="3"/>
      <c r="I119" s="3"/>
      <c r="J119" s="3"/>
      <c r="K119" s="3"/>
      <c r="L119" s="3"/>
      <c r="M119" s="3"/>
      <c r="N119" s="3"/>
      <c r="O119" s="3"/>
      <c r="P119" s="3"/>
      <c r="Q119" s="3"/>
      <c r="R119" s="3"/>
      <c r="S119" s="3"/>
      <c r="T119" s="3"/>
      <c r="U119" s="3"/>
      <c r="V119" s="3"/>
      <c r="W119" s="3"/>
      <c r="X119" s="34"/>
    </row>
    <row r="120" spans="2:24" ht="13.5" thickBot="1" x14ac:dyDescent="0.35">
      <c r="B120" s="346"/>
      <c r="H120" s="3"/>
      <c r="I120" s="3"/>
      <c r="J120" s="3"/>
      <c r="K120" s="3"/>
      <c r="L120" s="3"/>
      <c r="M120" s="3"/>
      <c r="N120" s="3"/>
      <c r="O120" s="3"/>
      <c r="P120" s="3"/>
      <c r="Q120" s="3"/>
      <c r="R120" s="3"/>
      <c r="S120" s="3"/>
      <c r="T120" s="3"/>
      <c r="U120" s="3"/>
      <c r="V120" s="3"/>
      <c r="W120" s="3"/>
      <c r="X120" s="34"/>
    </row>
    <row r="121" spans="2:24" ht="12.75" customHeight="1" x14ac:dyDescent="0.3">
      <c r="B121" s="762" t="s">
        <v>625</v>
      </c>
      <c r="C121" s="768" t="s">
        <v>626</v>
      </c>
      <c r="D121" s="764" t="s">
        <v>627</v>
      </c>
      <c r="E121" s="766" t="s">
        <v>628</v>
      </c>
      <c r="F121" s="3"/>
      <c r="G121" s="3"/>
      <c r="H121" s="3"/>
      <c r="I121" s="3"/>
      <c r="J121" s="3"/>
      <c r="K121" s="3"/>
      <c r="L121" s="3"/>
      <c r="M121" s="3"/>
      <c r="N121" s="3"/>
      <c r="O121" s="3"/>
      <c r="P121" s="3"/>
      <c r="Q121" s="3"/>
      <c r="R121" s="3"/>
      <c r="S121" s="3"/>
      <c r="T121" s="3"/>
      <c r="U121" s="3"/>
      <c r="V121" s="34"/>
    </row>
    <row r="122" spans="2:24" ht="13" x14ac:dyDescent="0.3">
      <c r="B122" s="763"/>
      <c r="C122" s="769"/>
      <c r="D122" s="765"/>
      <c r="E122" s="767"/>
      <c r="F122" s="3"/>
      <c r="G122" s="3"/>
      <c r="H122" s="3"/>
      <c r="I122" s="3"/>
      <c r="J122" s="3"/>
      <c r="K122" s="3"/>
      <c r="L122" s="3"/>
      <c r="M122" s="3"/>
      <c r="N122" s="3"/>
      <c r="O122" s="3"/>
      <c r="P122" s="3"/>
      <c r="Q122" s="3"/>
      <c r="R122" s="3"/>
      <c r="S122" s="3"/>
      <c r="T122" s="3"/>
      <c r="U122" s="3"/>
      <c r="V122" s="34"/>
    </row>
    <row r="123" spans="2:24" ht="15.5" x14ac:dyDescent="0.3">
      <c r="B123" s="492" t="s">
        <v>629</v>
      </c>
      <c r="C123" s="473" t="s">
        <v>630</v>
      </c>
      <c r="D123" s="473" t="s">
        <v>631</v>
      </c>
      <c r="E123" s="493" t="s">
        <v>632</v>
      </c>
      <c r="F123" s="3"/>
      <c r="G123" s="3"/>
      <c r="H123" s="3"/>
      <c r="I123" s="3"/>
      <c r="J123" s="3"/>
      <c r="K123" s="3"/>
      <c r="L123" s="3"/>
      <c r="M123" s="3"/>
      <c r="N123" s="3"/>
      <c r="O123" s="3"/>
      <c r="P123" s="3"/>
      <c r="Q123" s="3"/>
      <c r="R123" s="3"/>
      <c r="S123" s="3"/>
      <c r="T123" s="3"/>
      <c r="U123" s="3"/>
      <c r="V123" s="34"/>
    </row>
    <row r="124" spans="2:24" ht="13" x14ac:dyDescent="0.3">
      <c r="B124" s="334" t="s">
        <v>633</v>
      </c>
      <c r="C124" s="475">
        <v>25.09</v>
      </c>
      <c r="D124" s="475">
        <v>103.54</v>
      </c>
      <c r="E124" s="494">
        <v>2597.819</v>
      </c>
      <c r="F124" s="3"/>
      <c r="G124" s="3"/>
      <c r="H124" s="3"/>
      <c r="I124" s="3"/>
      <c r="J124" s="3"/>
      <c r="K124" s="3"/>
      <c r="L124" s="3"/>
      <c r="M124" s="3"/>
      <c r="N124" s="3"/>
      <c r="O124" s="3"/>
      <c r="P124" s="3"/>
      <c r="Q124" s="3"/>
      <c r="R124" s="3"/>
      <c r="S124" s="3"/>
      <c r="T124" s="3"/>
      <c r="U124" s="3"/>
      <c r="V124" s="34"/>
    </row>
    <row r="125" spans="2:24" ht="13" x14ac:dyDescent="0.3">
      <c r="B125" s="334" t="s">
        <v>634</v>
      </c>
      <c r="C125" s="475">
        <v>24.93</v>
      </c>
      <c r="D125" s="483">
        <v>93.4</v>
      </c>
      <c r="E125" s="494">
        <v>2328.462</v>
      </c>
      <c r="F125" s="3"/>
      <c r="G125" s="3"/>
      <c r="H125" s="3"/>
      <c r="I125" s="3"/>
      <c r="J125" s="3"/>
      <c r="K125" s="3"/>
      <c r="L125" s="3"/>
      <c r="M125" s="3"/>
      <c r="N125" s="3"/>
      <c r="O125" s="3"/>
      <c r="P125" s="3"/>
      <c r="Q125" s="3"/>
      <c r="R125" s="3"/>
      <c r="S125" s="3"/>
      <c r="T125" s="3"/>
      <c r="U125" s="3"/>
      <c r="V125" s="34"/>
    </row>
    <row r="126" spans="2:24" ht="13" x14ac:dyDescent="0.3">
      <c r="B126" s="334" t="s">
        <v>635</v>
      </c>
      <c r="C126" s="475">
        <v>17.25</v>
      </c>
      <c r="D126" s="475">
        <v>97.09</v>
      </c>
      <c r="E126" s="494">
        <v>1673.595</v>
      </c>
      <c r="F126" s="3"/>
      <c r="G126" s="3"/>
      <c r="H126" s="3"/>
      <c r="I126" s="3"/>
      <c r="J126" s="3"/>
      <c r="K126" s="3"/>
      <c r="L126" s="3"/>
      <c r="M126" s="3"/>
      <c r="N126" s="3"/>
      <c r="O126" s="3"/>
      <c r="P126" s="3"/>
      <c r="Q126" s="3"/>
      <c r="R126" s="3"/>
      <c r="S126" s="3"/>
      <c r="T126" s="3"/>
      <c r="U126" s="3"/>
      <c r="V126" s="34"/>
    </row>
    <row r="127" spans="2:24" ht="13" x14ac:dyDescent="0.3">
      <c r="B127" s="334" t="s">
        <v>636</v>
      </c>
      <c r="C127" s="475">
        <v>14.21</v>
      </c>
      <c r="D127" s="475">
        <v>96.36</v>
      </c>
      <c r="E127" s="494">
        <v>1369.2760000000001</v>
      </c>
      <c r="F127" s="3"/>
      <c r="G127" s="3"/>
      <c r="H127" s="3"/>
      <c r="I127" s="3"/>
      <c r="J127" s="3"/>
      <c r="K127" s="3"/>
      <c r="L127" s="3"/>
      <c r="M127" s="3"/>
      <c r="N127" s="3"/>
      <c r="O127" s="3"/>
      <c r="P127" s="3"/>
      <c r="Q127" s="3"/>
      <c r="R127" s="3"/>
      <c r="S127" s="3"/>
      <c r="T127" s="3"/>
      <c r="U127" s="3"/>
      <c r="V127" s="34"/>
    </row>
    <row r="128" spans="2:24" ht="13" x14ac:dyDescent="0.3">
      <c r="B128" s="334" t="s">
        <v>637</v>
      </c>
      <c r="C128" s="483">
        <v>24.8</v>
      </c>
      <c r="D128" s="475">
        <v>102.04</v>
      </c>
      <c r="E128" s="494">
        <v>2530.5920000000001</v>
      </c>
      <c r="F128" s="3"/>
      <c r="G128" s="3"/>
      <c r="H128" s="3"/>
      <c r="I128" s="3"/>
      <c r="J128" s="3"/>
      <c r="K128" s="3"/>
      <c r="L128" s="3"/>
      <c r="M128" s="3"/>
      <c r="N128" s="3"/>
      <c r="O128" s="3"/>
      <c r="P128" s="3"/>
      <c r="Q128" s="3"/>
      <c r="R128" s="3"/>
      <c r="S128" s="3"/>
      <c r="T128" s="3"/>
      <c r="U128" s="3"/>
      <c r="V128" s="34"/>
    </row>
    <row r="129" spans="2:22" ht="13" x14ac:dyDescent="0.3">
      <c r="B129" s="334" t="s">
        <v>638</v>
      </c>
      <c r="C129" s="475">
        <v>21.39</v>
      </c>
      <c r="D129" s="475">
        <v>95.26</v>
      </c>
      <c r="E129" s="494">
        <v>2037.6110000000001</v>
      </c>
      <c r="F129" s="3"/>
      <c r="G129" s="3"/>
      <c r="H129" s="3"/>
      <c r="I129" s="3"/>
      <c r="J129" s="3"/>
      <c r="K129" s="3"/>
      <c r="L129" s="3"/>
      <c r="M129" s="3"/>
      <c r="N129" s="3"/>
      <c r="O129" s="3"/>
      <c r="P129" s="3"/>
      <c r="Q129" s="3"/>
      <c r="R129" s="3"/>
      <c r="S129" s="3"/>
      <c r="T129" s="3"/>
      <c r="U129" s="3"/>
      <c r="V129" s="34"/>
    </row>
    <row r="130" spans="2:22" ht="13" x14ac:dyDescent="0.3">
      <c r="B130" s="334" t="s">
        <v>639</v>
      </c>
      <c r="C130" s="475">
        <v>26.28</v>
      </c>
      <c r="D130" s="475">
        <v>93.65</v>
      </c>
      <c r="E130" s="494">
        <v>2461.1219999999998</v>
      </c>
      <c r="F130" s="3"/>
      <c r="G130" s="3"/>
      <c r="H130" s="3"/>
      <c r="I130" s="3"/>
      <c r="J130" s="3"/>
      <c r="K130" s="3"/>
      <c r="L130" s="3"/>
      <c r="M130" s="3"/>
      <c r="N130" s="3"/>
      <c r="O130" s="3"/>
      <c r="P130" s="3"/>
      <c r="Q130" s="3"/>
      <c r="R130" s="3"/>
      <c r="S130" s="3"/>
      <c r="T130" s="3"/>
      <c r="U130" s="3"/>
      <c r="V130" s="34"/>
    </row>
    <row r="131" spans="2:22" ht="13" x14ac:dyDescent="0.3">
      <c r="B131" s="334" t="s">
        <v>640</v>
      </c>
      <c r="C131" s="475">
        <v>19.73</v>
      </c>
      <c r="D131" s="475">
        <v>94.38</v>
      </c>
      <c r="E131" s="494">
        <v>1862.117</v>
      </c>
      <c r="F131" s="3"/>
      <c r="G131" s="3"/>
      <c r="H131" s="3"/>
      <c r="I131" s="3"/>
      <c r="J131" s="3"/>
      <c r="K131" s="3"/>
      <c r="L131" s="3"/>
      <c r="M131" s="3"/>
      <c r="N131" s="3"/>
      <c r="O131" s="3"/>
      <c r="P131" s="3"/>
      <c r="Q131" s="3"/>
      <c r="R131" s="3"/>
      <c r="S131" s="3"/>
      <c r="T131" s="3"/>
      <c r="U131" s="3"/>
      <c r="V131" s="34"/>
    </row>
    <row r="132" spans="2:22" ht="15.5" x14ac:dyDescent="0.3">
      <c r="B132" s="492" t="s">
        <v>641</v>
      </c>
      <c r="C132" s="473" t="s">
        <v>642</v>
      </c>
      <c r="D132" s="473" t="s">
        <v>631</v>
      </c>
      <c r="E132" s="493" t="s">
        <v>643</v>
      </c>
      <c r="F132" s="3"/>
      <c r="G132" s="3"/>
      <c r="H132" s="3"/>
      <c r="I132" s="3"/>
      <c r="J132" s="3"/>
      <c r="K132" s="3"/>
      <c r="L132" s="3"/>
      <c r="M132" s="3"/>
      <c r="N132" s="3"/>
      <c r="O132" s="3"/>
      <c r="P132" s="3"/>
      <c r="Q132" s="3"/>
      <c r="R132" s="3"/>
      <c r="S132" s="3"/>
      <c r="T132" s="3"/>
      <c r="U132" s="3"/>
      <c r="V132" s="34"/>
    </row>
    <row r="133" spans="2:22" ht="14.5" x14ac:dyDescent="0.3">
      <c r="B133" s="334" t="s">
        <v>302</v>
      </c>
      <c r="C133" s="476" t="s">
        <v>644</v>
      </c>
      <c r="D133" s="358">
        <v>53.02</v>
      </c>
      <c r="E133" s="48">
        <v>5.5E-2</v>
      </c>
      <c r="F133" s="3"/>
      <c r="G133" s="3"/>
      <c r="H133" s="3"/>
      <c r="I133" s="3"/>
      <c r="J133" s="3"/>
      <c r="K133" s="3"/>
      <c r="L133" s="3"/>
      <c r="M133" s="3"/>
      <c r="N133" s="3"/>
      <c r="O133" s="3"/>
      <c r="P133" s="3"/>
      <c r="Q133" s="3"/>
      <c r="R133" s="3"/>
      <c r="S133" s="3"/>
      <c r="T133" s="3"/>
      <c r="U133" s="3"/>
      <c r="V133" s="34"/>
    </row>
    <row r="134" spans="2:22" ht="15.5" x14ac:dyDescent="0.3">
      <c r="B134" s="492" t="s">
        <v>645</v>
      </c>
      <c r="C134" s="473" t="s">
        <v>646</v>
      </c>
      <c r="D134" s="473" t="s">
        <v>631</v>
      </c>
      <c r="E134" s="493" t="s">
        <v>647</v>
      </c>
      <c r="F134" s="3"/>
      <c r="G134" s="3"/>
      <c r="H134" s="3"/>
      <c r="I134" s="3"/>
      <c r="J134" s="3"/>
      <c r="K134" s="3"/>
      <c r="L134" s="3"/>
      <c r="M134" s="3"/>
      <c r="N134" s="3"/>
      <c r="O134" s="3"/>
      <c r="P134" s="3"/>
      <c r="Q134" s="3"/>
      <c r="R134" s="3"/>
      <c r="S134" s="3"/>
      <c r="T134" s="3"/>
      <c r="U134" s="3"/>
      <c r="V134" s="34"/>
    </row>
    <row r="135" spans="2:22" ht="13" x14ac:dyDescent="0.3">
      <c r="B135" s="495" t="s">
        <v>648</v>
      </c>
      <c r="C135" s="477">
        <v>0.13900000000000001</v>
      </c>
      <c r="D135" s="483">
        <v>73.25</v>
      </c>
      <c r="E135" s="496">
        <v>10.182</v>
      </c>
      <c r="F135" s="3"/>
      <c r="G135" s="3"/>
      <c r="H135" s="3"/>
      <c r="I135" s="3"/>
      <c r="J135" s="3"/>
      <c r="K135" s="3"/>
      <c r="L135" s="3"/>
      <c r="M135" s="3"/>
      <c r="N135" s="3"/>
      <c r="O135" s="3"/>
      <c r="P135" s="3"/>
      <c r="Q135" s="3"/>
      <c r="R135" s="3"/>
      <c r="S135" s="3"/>
      <c r="T135" s="3"/>
      <c r="U135" s="3"/>
      <c r="V135" s="34"/>
    </row>
    <row r="136" spans="2:22" ht="13" x14ac:dyDescent="0.3">
      <c r="B136" s="495" t="s">
        <v>649</v>
      </c>
      <c r="C136" s="477">
        <v>0.13800000000000001</v>
      </c>
      <c r="D136" s="483">
        <v>73.959999999999994</v>
      </c>
      <c r="E136" s="496">
        <v>10.206</v>
      </c>
      <c r="F136" s="3"/>
      <c r="G136" s="3"/>
      <c r="H136" s="3"/>
      <c r="I136" s="3"/>
      <c r="J136" s="3"/>
      <c r="K136" s="3"/>
      <c r="L136" s="3"/>
      <c r="M136" s="3"/>
      <c r="N136" s="3"/>
      <c r="O136" s="3"/>
      <c r="P136" s="3"/>
      <c r="Q136" s="3"/>
      <c r="R136" s="3"/>
      <c r="S136" s="3"/>
      <c r="T136" s="3"/>
      <c r="U136" s="3"/>
      <c r="V136" s="34"/>
    </row>
    <row r="137" spans="2:22" ht="13" x14ac:dyDescent="0.3">
      <c r="B137" s="495" t="s">
        <v>650</v>
      </c>
      <c r="C137" s="477">
        <v>0.14599999999999999</v>
      </c>
      <c r="D137" s="483">
        <v>75.040000000000006</v>
      </c>
      <c r="E137" s="496">
        <v>10.956</v>
      </c>
      <c r="F137" s="3"/>
      <c r="G137" s="3"/>
      <c r="H137" s="3"/>
      <c r="I137" s="3"/>
      <c r="J137" s="3"/>
      <c r="K137" s="3"/>
      <c r="L137" s="3"/>
      <c r="M137" s="3"/>
      <c r="N137" s="3"/>
      <c r="O137" s="3"/>
      <c r="P137" s="3"/>
      <c r="Q137" s="3"/>
      <c r="R137" s="3"/>
      <c r="S137" s="3"/>
      <c r="T137" s="3"/>
      <c r="U137" s="3"/>
      <c r="V137" s="34"/>
    </row>
    <row r="138" spans="2:22" ht="13" x14ac:dyDescent="0.3">
      <c r="B138" s="495" t="s">
        <v>651</v>
      </c>
      <c r="C138" s="477">
        <v>0.14000000000000001</v>
      </c>
      <c r="D138" s="483">
        <v>72.930000000000007</v>
      </c>
      <c r="E138" s="496">
        <v>10.210000000000001</v>
      </c>
      <c r="F138" s="4"/>
      <c r="G138" s="4"/>
      <c r="H138" s="4"/>
      <c r="I138" s="4"/>
      <c r="J138" s="4"/>
      <c r="K138" s="4"/>
      <c r="L138" s="4"/>
      <c r="M138" s="4"/>
      <c r="N138" s="4"/>
      <c r="O138" s="4"/>
      <c r="P138" s="4"/>
      <c r="Q138" s="4"/>
      <c r="R138" s="4"/>
      <c r="S138" s="4"/>
      <c r="T138" s="4"/>
      <c r="U138" s="4"/>
      <c r="V138" s="34"/>
    </row>
    <row r="139" spans="2:22" ht="13" x14ac:dyDescent="0.3">
      <c r="B139" s="495" t="s">
        <v>652</v>
      </c>
      <c r="C139" s="477">
        <v>0.15</v>
      </c>
      <c r="D139" s="483">
        <v>75.099999999999994</v>
      </c>
      <c r="E139" s="496">
        <v>11.265000000000001</v>
      </c>
      <c r="F139" s="4"/>
      <c r="G139" s="4"/>
      <c r="H139" s="4"/>
      <c r="I139" s="4"/>
      <c r="J139" s="4"/>
      <c r="K139" s="4"/>
      <c r="L139" s="4"/>
      <c r="M139" s="4"/>
      <c r="N139" s="4"/>
      <c r="O139" s="4"/>
      <c r="P139" s="4"/>
      <c r="Q139" s="4"/>
      <c r="R139" s="4"/>
      <c r="S139" s="4"/>
      <c r="T139" s="4"/>
      <c r="U139" s="4"/>
      <c r="V139" s="34"/>
    </row>
    <row r="140" spans="2:22" ht="13" x14ac:dyDescent="0.3">
      <c r="B140" s="495" t="s">
        <v>653</v>
      </c>
      <c r="C140" s="477">
        <v>0.13500000000000001</v>
      </c>
      <c r="D140" s="483">
        <v>74</v>
      </c>
      <c r="E140" s="496">
        <v>9.99</v>
      </c>
      <c r="F140" s="4"/>
      <c r="G140" s="4"/>
      <c r="H140" s="4"/>
      <c r="I140" s="4"/>
      <c r="J140" s="4"/>
      <c r="K140" s="4"/>
      <c r="L140" s="4"/>
      <c r="M140" s="4"/>
      <c r="N140" s="4"/>
      <c r="O140" s="4"/>
      <c r="P140" s="4"/>
      <c r="Q140" s="4"/>
      <c r="R140" s="4"/>
      <c r="S140" s="4"/>
      <c r="T140" s="4"/>
      <c r="U140" s="4"/>
      <c r="V140" s="34"/>
    </row>
    <row r="141" spans="2:22" ht="13" x14ac:dyDescent="0.3">
      <c r="B141" s="495" t="s">
        <v>304</v>
      </c>
      <c r="C141" s="477">
        <v>0.13500000000000001</v>
      </c>
      <c r="D141" s="483">
        <v>75.2</v>
      </c>
      <c r="E141" s="496">
        <v>10.151999999999999</v>
      </c>
      <c r="F141" s="4"/>
      <c r="G141" s="4"/>
      <c r="H141" s="4"/>
      <c r="I141" s="4"/>
      <c r="J141" s="4"/>
      <c r="K141" s="4"/>
      <c r="L141" s="4"/>
      <c r="M141" s="4"/>
      <c r="N141" s="4"/>
      <c r="O141" s="4"/>
      <c r="P141" s="4"/>
      <c r="Q141" s="4"/>
      <c r="R141" s="4"/>
      <c r="S141" s="4"/>
      <c r="T141" s="4"/>
      <c r="U141" s="4"/>
      <c r="V141" s="34"/>
    </row>
    <row r="142" spans="2:22" ht="13" x14ac:dyDescent="0.3">
      <c r="B142" s="495" t="s">
        <v>305</v>
      </c>
      <c r="C142" s="477">
        <v>9.1999999999999998E-2</v>
      </c>
      <c r="D142" s="483">
        <v>62.98</v>
      </c>
      <c r="E142" s="496">
        <v>5.7939999999999996</v>
      </c>
      <c r="F142" s="4"/>
      <c r="G142" s="4"/>
      <c r="H142" s="4"/>
      <c r="I142" s="4"/>
      <c r="J142" s="4"/>
      <c r="K142" s="4"/>
      <c r="L142" s="4"/>
      <c r="M142" s="4"/>
      <c r="N142" s="4"/>
      <c r="O142" s="4"/>
      <c r="P142" s="4"/>
      <c r="Q142" s="4"/>
      <c r="R142" s="4"/>
      <c r="S142" s="4"/>
      <c r="T142" s="4"/>
      <c r="U142" s="4"/>
      <c r="V142" s="34"/>
    </row>
    <row r="143" spans="2:22" x14ac:dyDescent="0.25">
      <c r="B143" s="497" t="s">
        <v>301</v>
      </c>
      <c r="C143" s="477">
        <v>9.0999999999999998E-2</v>
      </c>
      <c r="D143" s="483">
        <v>61.46</v>
      </c>
      <c r="E143" s="496">
        <v>5.593</v>
      </c>
    </row>
    <row r="144" spans="2:22" x14ac:dyDescent="0.25">
      <c r="B144" s="497" t="s">
        <v>654</v>
      </c>
      <c r="C144" s="477">
        <v>9.0999999999999998E-2</v>
      </c>
      <c r="D144" s="483">
        <v>65.95</v>
      </c>
      <c r="E144" s="496">
        <v>6.0010000000000003</v>
      </c>
    </row>
    <row r="145" spans="2:22" x14ac:dyDescent="0.25">
      <c r="B145" s="497" t="s">
        <v>655</v>
      </c>
      <c r="C145" s="477">
        <v>6.9000000000000006E-2</v>
      </c>
      <c r="D145" s="483">
        <v>62.64</v>
      </c>
      <c r="E145" s="496">
        <v>4.3220000000000001</v>
      </c>
      <c r="F145" s="348"/>
      <c r="G145" s="348"/>
      <c r="H145" s="348"/>
      <c r="I145" s="348"/>
      <c r="J145" s="348"/>
      <c r="K145" s="348"/>
      <c r="L145" s="348"/>
      <c r="M145" s="348"/>
      <c r="N145" s="348"/>
      <c r="O145" s="348"/>
      <c r="P145" s="348"/>
      <c r="Q145" s="348"/>
      <c r="R145" s="348"/>
      <c r="S145" s="348"/>
      <c r="T145" s="348"/>
      <c r="U145" s="54"/>
      <c r="V145" s="34"/>
    </row>
    <row r="146" spans="2:22" x14ac:dyDescent="0.25">
      <c r="B146" s="497" t="s">
        <v>656</v>
      </c>
      <c r="C146" s="477">
        <v>8.4000000000000005E-2</v>
      </c>
      <c r="D146" s="483">
        <v>68.44</v>
      </c>
      <c r="E146" s="496">
        <v>5.7489999999999997</v>
      </c>
      <c r="F146" s="348"/>
      <c r="G146" s="348"/>
      <c r="H146" s="348"/>
      <c r="I146" s="348"/>
      <c r="J146" s="348"/>
      <c r="K146" s="348"/>
      <c r="L146" s="348"/>
      <c r="M146" s="348"/>
      <c r="N146" s="348"/>
      <c r="O146" s="348"/>
      <c r="P146" s="348"/>
      <c r="Q146" s="348"/>
      <c r="R146" s="348"/>
      <c r="S146" s="348"/>
      <c r="T146" s="348"/>
      <c r="U146" s="54"/>
      <c r="V146" s="34"/>
    </row>
    <row r="147" spans="2:22" x14ac:dyDescent="0.25">
      <c r="B147" s="497" t="s">
        <v>657</v>
      </c>
      <c r="C147" s="477">
        <v>0.1</v>
      </c>
      <c r="D147" s="483">
        <v>67.430000000000007</v>
      </c>
      <c r="E147" s="496">
        <v>6.7430000000000003</v>
      </c>
      <c r="F147" s="348"/>
      <c r="G147" s="348"/>
      <c r="H147" s="348"/>
      <c r="I147" s="348"/>
      <c r="J147" s="348"/>
      <c r="K147" s="348"/>
      <c r="L147" s="348"/>
      <c r="M147" s="348"/>
      <c r="N147" s="348"/>
      <c r="O147" s="348"/>
      <c r="P147" s="348"/>
      <c r="Q147" s="348"/>
      <c r="R147" s="348"/>
      <c r="S147" s="348"/>
      <c r="T147" s="348"/>
      <c r="U147" s="54"/>
      <c r="V147" s="34"/>
    </row>
    <row r="148" spans="2:22" x14ac:dyDescent="0.25">
      <c r="B148" s="497" t="s">
        <v>658</v>
      </c>
      <c r="C148" s="477">
        <v>0.97</v>
      </c>
      <c r="D148" s="483">
        <v>64.91</v>
      </c>
      <c r="E148" s="496">
        <v>6.2960000000000003</v>
      </c>
      <c r="F148" s="348"/>
      <c r="G148" s="348"/>
      <c r="H148" s="348"/>
      <c r="I148" s="348"/>
      <c r="J148" s="348"/>
      <c r="K148" s="348"/>
      <c r="L148" s="348"/>
      <c r="M148" s="348"/>
      <c r="N148" s="348"/>
      <c r="O148" s="348"/>
      <c r="P148" s="348"/>
      <c r="Q148" s="348"/>
      <c r="R148" s="348"/>
      <c r="S148" s="348"/>
      <c r="T148" s="348"/>
      <c r="U148" s="54"/>
      <c r="V148" s="34"/>
    </row>
    <row r="149" spans="2:22" x14ac:dyDescent="0.25">
      <c r="B149" s="497" t="s">
        <v>659</v>
      </c>
      <c r="C149" s="477">
        <v>0.10299999999999999</v>
      </c>
      <c r="D149" s="483">
        <v>67.739999999999995</v>
      </c>
      <c r="E149" s="496">
        <v>6.9770000000000003</v>
      </c>
      <c r="F149" s="348"/>
      <c r="G149" s="348"/>
      <c r="H149" s="348"/>
      <c r="I149" s="348"/>
      <c r="J149" s="348"/>
      <c r="K149" s="348"/>
      <c r="L149" s="348"/>
      <c r="M149" s="348"/>
      <c r="N149" s="348"/>
      <c r="O149" s="348"/>
      <c r="P149" s="348"/>
      <c r="Q149" s="348"/>
      <c r="R149" s="348"/>
      <c r="S149" s="348"/>
      <c r="T149" s="348"/>
      <c r="U149" s="54"/>
      <c r="V149" s="34"/>
    </row>
    <row r="150" spans="2:22" x14ac:dyDescent="0.25">
      <c r="B150" s="497" t="s">
        <v>660</v>
      </c>
      <c r="C150" s="477">
        <v>0.10100000000000001</v>
      </c>
      <c r="D150" s="483">
        <v>65.150000000000006</v>
      </c>
      <c r="E150" s="496">
        <v>6.58</v>
      </c>
      <c r="F150" s="348"/>
      <c r="G150" s="348"/>
      <c r="H150" s="348"/>
      <c r="I150" s="348"/>
      <c r="J150" s="348"/>
      <c r="K150" s="348"/>
      <c r="L150" s="348"/>
      <c r="M150" s="348"/>
      <c r="N150" s="348"/>
      <c r="O150" s="348"/>
      <c r="P150" s="348"/>
      <c r="Q150" s="348"/>
      <c r="R150" s="348"/>
      <c r="S150" s="348"/>
      <c r="T150" s="348"/>
      <c r="U150" s="54"/>
      <c r="V150" s="34"/>
    </row>
    <row r="151" spans="2:22" x14ac:dyDescent="0.25">
      <c r="B151" s="497" t="s">
        <v>661</v>
      </c>
      <c r="C151" s="477">
        <v>0.10299999999999999</v>
      </c>
      <c r="D151" s="483">
        <v>67.73</v>
      </c>
      <c r="E151" s="496">
        <v>6.9763000000000002</v>
      </c>
      <c r="F151" s="348"/>
      <c r="G151" s="348"/>
      <c r="H151" s="348"/>
      <c r="I151" s="348"/>
      <c r="J151" s="348"/>
      <c r="K151" s="348"/>
      <c r="L151" s="348"/>
      <c r="M151" s="348"/>
      <c r="N151" s="348"/>
      <c r="O151" s="348"/>
      <c r="P151" s="348"/>
      <c r="Q151" s="348"/>
      <c r="R151" s="348"/>
      <c r="S151" s="348"/>
      <c r="T151" s="348"/>
      <c r="U151" s="54"/>
      <c r="V151" s="34"/>
    </row>
    <row r="152" spans="2:22" x14ac:dyDescent="0.25">
      <c r="B152" s="495" t="s">
        <v>662</v>
      </c>
      <c r="C152" s="477">
        <v>0.125</v>
      </c>
      <c r="D152" s="483">
        <v>68.02</v>
      </c>
      <c r="E152" s="496">
        <v>8.5030000000000001</v>
      </c>
      <c r="F152" s="348"/>
      <c r="G152" s="348"/>
      <c r="H152" s="348"/>
      <c r="I152" s="348"/>
      <c r="J152" s="348"/>
      <c r="K152" s="348"/>
      <c r="L152" s="348"/>
      <c r="M152" s="348"/>
      <c r="N152" s="348"/>
      <c r="O152" s="348"/>
      <c r="P152" s="348"/>
      <c r="Q152" s="348"/>
      <c r="R152" s="348"/>
      <c r="S152" s="348"/>
      <c r="T152" s="348"/>
      <c r="U152" s="54"/>
      <c r="V152" s="34"/>
    </row>
    <row r="153" spans="2:22" x14ac:dyDescent="0.25">
      <c r="B153" s="495" t="s">
        <v>663</v>
      </c>
      <c r="C153" s="477">
        <v>0.11</v>
      </c>
      <c r="D153" s="483">
        <v>66.83</v>
      </c>
      <c r="E153" s="496">
        <v>7.351</v>
      </c>
      <c r="F153" s="348"/>
      <c r="G153" s="348"/>
      <c r="H153" s="348"/>
      <c r="I153" s="348"/>
      <c r="J153" s="348"/>
      <c r="K153" s="348"/>
      <c r="L153" s="348"/>
      <c r="M153" s="348"/>
      <c r="N153" s="348"/>
      <c r="O153" s="348"/>
      <c r="P153" s="348"/>
      <c r="Q153" s="348"/>
      <c r="R153" s="348"/>
      <c r="S153" s="348"/>
      <c r="T153" s="348"/>
      <c r="U153" s="54"/>
      <c r="V153" s="34"/>
    </row>
    <row r="154" spans="2:22" x14ac:dyDescent="0.25">
      <c r="B154" s="495" t="s">
        <v>664</v>
      </c>
      <c r="C154" s="477">
        <v>0.13900000000000001</v>
      </c>
      <c r="D154" s="483">
        <v>76.22</v>
      </c>
      <c r="E154" s="496">
        <v>10.595000000000001</v>
      </c>
      <c r="F154" s="348"/>
      <c r="G154" s="348"/>
      <c r="H154" s="348"/>
      <c r="I154" s="348"/>
      <c r="J154" s="348"/>
      <c r="K154" s="348"/>
      <c r="L154" s="348"/>
      <c r="M154" s="348"/>
      <c r="N154" s="348"/>
      <c r="O154" s="348"/>
      <c r="P154" s="348"/>
      <c r="Q154" s="348"/>
      <c r="R154" s="348"/>
      <c r="S154" s="348"/>
      <c r="T154" s="348"/>
      <c r="U154" s="54"/>
      <c r="V154" s="34"/>
    </row>
    <row r="155" spans="2:22" x14ac:dyDescent="0.25">
      <c r="B155" s="495" t="s">
        <v>665</v>
      </c>
      <c r="C155" s="477">
        <v>0.11</v>
      </c>
      <c r="D155" s="483">
        <v>70.02</v>
      </c>
      <c r="E155" s="496">
        <v>7.702</v>
      </c>
      <c r="F155" s="348"/>
      <c r="G155" s="348"/>
      <c r="H155" s="348"/>
      <c r="I155" s="348"/>
      <c r="J155" s="348"/>
      <c r="K155" s="348"/>
      <c r="L155" s="348"/>
      <c r="M155" s="348"/>
      <c r="N155" s="348"/>
      <c r="O155" s="348"/>
      <c r="P155" s="348"/>
      <c r="Q155" s="348"/>
      <c r="R155" s="348"/>
      <c r="S155" s="348"/>
      <c r="T155" s="348"/>
      <c r="U155" s="54"/>
      <c r="V155" s="34"/>
    </row>
    <row r="156" spans="2:22" x14ac:dyDescent="0.25">
      <c r="B156" s="495" t="s">
        <v>666</v>
      </c>
      <c r="C156" s="477">
        <v>0.129</v>
      </c>
      <c r="D156" s="483">
        <v>70.97</v>
      </c>
      <c r="E156" s="496">
        <v>9.1549999999999994</v>
      </c>
      <c r="F156" s="348"/>
      <c r="G156" s="348"/>
      <c r="H156" s="348"/>
      <c r="I156" s="348"/>
      <c r="J156" s="348"/>
      <c r="K156" s="348"/>
      <c r="L156" s="348"/>
      <c r="M156" s="348"/>
      <c r="N156" s="348"/>
      <c r="O156" s="348"/>
      <c r="P156" s="348"/>
      <c r="Q156" s="348"/>
      <c r="R156" s="348"/>
      <c r="S156" s="348"/>
      <c r="T156" s="348"/>
      <c r="U156" s="54"/>
      <c r="V156" s="34"/>
    </row>
    <row r="157" spans="2:22" x14ac:dyDescent="0.25">
      <c r="B157" s="495" t="s">
        <v>667</v>
      </c>
      <c r="C157" s="477">
        <v>0.14299999999999999</v>
      </c>
      <c r="D157" s="483">
        <v>102.41</v>
      </c>
      <c r="E157" s="496">
        <v>14.645</v>
      </c>
      <c r="F157" s="348"/>
      <c r="G157" s="348"/>
      <c r="H157" s="348"/>
      <c r="I157" s="348"/>
      <c r="J157" s="348"/>
      <c r="K157" s="348"/>
      <c r="L157" s="348"/>
      <c r="M157" s="348"/>
      <c r="N157" s="348"/>
      <c r="O157" s="348"/>
      <c r="P157" s="348"/>
      <c r="Q157" s="348"/>
      <c r="R157" s="348"/>
      <c r="S157" s="348"/>
      <c r="T157" s="348"/>
      <c r="U157" s="54"/>
      <c r="V157" s="34"/>
    </row>
    <row r="158" spans="2:22" x14ac:dyDescent="0.25">
      <c r="B158" s="495" t="s">
        <v>668</v>
      </c>
      <c r="C158" s="477">
        <v>0.125</v>
      </c>
      <c r="D158" s="483">
        <v>72.34</v>
      </c>
      <c r="E158" s="496">
        <v>9.0429999999999993</v>
      </c>
    </row>
    <row r="159" spans="2:22" x14ac:dyDescent="0.25">
      <c r="B159" s="495" t="s">
        <v>669</v>
      </c>
      <c r="C159" s="477">
        <v>0.13900000000000001</v>
      </c>
      <c r="D159" s="483">
        <v>74.489999999999995</v>
      </c>
      <c r="E159" s="496">
        <v>10.353999999999999</v>
      </c>
      <c r="F159" s="349"/>
      <c r="G159" s="349"/>
      <c r="H159" s="349"/>
      <c r="I159" s="349"/>
      <c r="J159" s="349"/>
      <c r="K159" s="349"/>
      <c r="L159" s="349"/>
      <c r="M159" s="349"/>
      <c r="N159" s="349"/>
      <c r="O159" s="349"/>
      <c r="P159" s="349"/>
      <c r="Q159" s="349"/>
      <c r="R159" s="349"/>
      <c r="S159" s="349"/>
      <c r="T159" s="349"/>
      <c r="U159" s="54"/>
      <c r="V159" s="34"/>
    </row>
    <row r="160" spans="2:22" x14ac:dyDescent="0.25">
      <c r="B160" s="495" t="s">
        <v>670</v>
      </c>
      <c r="C160" s="477">
        <v>0.14799999999999999</v>
      </c>
      <c r="D160" s="483">
        <v>74.92</v>
      </c>
      <c r="E160" s="496">
        <v>11.087999999999999</v>
      </c>
      <c r="F160" s="349"/>
      <c r="G160" s="349"/>
      <c r="H160" s="349"/>
      <c r="I160" s="349"/>
      <c r="J160" s="349"/>
      <c r="K160" s="349"/>
      <c r="L160" s="349"/>
      <c r="M160" s="349"/>
      <c r="N160" s="349"/>
      <c r="O160" s="349"/>
      <c r="P160" s="349"/>
      <c r="Q160" s="349"/>
      <c r="R160" s="349"/>
      <c r="S160" s="349"/>
      <c r="T160" s="349"/>
      <c r="U160" s="54"/>
      <c r="V160" s="34"/>
    </row>
    <row r="161" spans="2:22" x14ac:dyDescent="0.25">
      <c r="B161" s="495" t="s">
        <v>671</v>
      </c>
      <c r="C161" s="477">
        <v>0.14399999999999999</v>
      </c>
      <c r="D161" s="483">
        <v>74.27</v>
      </c>
      <c r="E161" s="496">
        <v>10.695</v>
      </c>
      <c r="F161" s="348"/>
      <c r="G161" s="348"/>
      <c r="H161" s="348"/>
      <c r="I161" s="348"/>
      <c r="J161" s="348"/>
      <c r="K161" s="348"/>
      <c r="L161" s="348"/>
      <c r="M161" s="348"/>
      <c r="N161" s="348"/>
      <c r="O161" s="348"/>
      <c r="P161" s="348"/>
      <c r="Q161" s="348"/>
      <c r="R161" s="348"/>
      <c r="S161" s="348"/>
      <c r="T161" s="348"/>
      <c r="U161" s="131"/>
      <c r="V161" s="34"/>
    </row>
    <row r="162" spans="2:22" x14ac:dyDescent="0.25">
      <c r="B162" s="495" t="s">
        <v>299</v>
      </c>
      <c r="C162" s="477">
        <v>0.125</v>
      </c>
      <c r="D162" s="483">
        <v>70.22</v>
      </c>
      <c r="E162" s="496">
        <v>8.7780000000000005</v>
      </c>
      <c r="F162" s="348"/>
      <c r="G162" s="348"/>
      <c r="H162" s="348"/>
      <c r="I162" s="348"/>
      <c r="J162" s="348"/>
      <c r="K162" s="348"/>
      <c r="L162" s="348"/>
      <c r="M162" s="348"/>
      <c r="N162" s="348"/>
      <c r="O162" s="348"/>
      <c r="P162" s="348"/>
      <c r="Q162" s="348"/>
      <c r="R162" s="348"/>
      <c r="S162" s="348"/>
      <c r="T162" s="348"/>
      <c r="U162" s="54"/>
      <c r="V162" s="703"/>
    </row>
    <row r="163" spans="2:22" x14ac:dyDescent="0.25">
      <c r="B163" s="495" t="s">
        <v>672</v>
      </c>
      <c r="C163" s="477">
        <v>0.12</v>
      </c>
      <c r="D163" s="483">
        <v>69.25</v>
      </c>
      <c r="E163" s="496">
        <v>8.31</v>
      </c>
      <c r="F163" s="348"/>
      <c r="G163" s="348"/>
      <c r="H163" s="348"/>
      <c r="I163" s="348"/>
      <c r="J163" s="348"/>
      <c r="K163" s="348"/>
      <c r="L163" s="348"/>
      <c r="M163" s="348"/>
      <c r="N163" s="348"/>
      <c r="O163" s="348"/>
      <c r="P163" s="348"/>
      <c r="Q163" s="348"/>
      <c r="R163" s="348"/>
      <c r="S163" s="348"/>
      <c r="T163" s="348"/>
      <c r="U163" s="54"/>
      <c r="V163" s="703"/>
    </row>
    <row r="164" spans="2:22" x14ac:dyDescent="0.25">
      <c r="B164" s="495" t="s">
        <v>673</v>
      </c>
      <c r="C164" s="477">
        <v>0.13500000000000001</v>
      </c>
      <c r="D164" s="483">
        <v>72.22</v>
      </c>
      <c r="E164" s="496">
        <v>9.75</v>
      </c>
      <c r="F164" s="348"/>
      <c r="G164" s="348"/>
      <c r="H164" s="348"/>
      <c r="I164" s="348"/>
      <c r="J164" s="348"/>
      <c r="K164" s="348"/>
      <c r="L164" s="348"/>
      <c r="M164" s="348"/>
      <c r="N164" s="348"/>
      <c r="O164" s="348"/>
      <c r="P164" s="348"/>
      <c r="Q164" s="348"/>
      <c r="R164" s="348"/>
      <c r="S164" s="348"/>
      <c r="T164" s="348"/>
      <c r="U164" s="54"/>
      <c r="V164" s="703"/>
    </row>
    <row r="165" spans="2:22" x14ac:dyDescent="0.25">
      <c r="B165" s="495" t="s">
        <v>674</v>
      </c>
      <c r="C165" s="477">
        <v>0.158</v>
      </c>
      <c r="D165" s="483">
        <v>75.36</v>
      </c>
      <c r="E165" s="496">
        <v>11.907</v>
      </c>
      <c r="F165" s="348"/>
      <c r="G165" s="348"/>
      <c r="H165" s="348"/>
      <c r="I165" s="348"/>
      <c r="J165" s="348"/>
      <c r="K165" s="348"/>
      <c r="L165" s="348"/>
      <c r="M165" s="348"/>
      <c r="N165" s="348"/>
      <c r="O165" s="348"/>
      <c r="P165" s="348"/>
      <c r="Q165" s="348"/>
      <c r="R165" s="348"/>
      <c r="S165" s="348"/>
      <c r="T165" s="348"/>
      <c r="U165" s="54"/>
      <c r="V165" s="703"/>
    </row>
    <row r="166" spans="2:22" x14ac:dyDescent="0.25">
      <c r="B166" s="495" t="s">
        <v>675</v>
      </c>
      <c r="C166" s="477">
        <v>0.13800000000000001</v>
      </c>
      <c r="D166" s="483">
        <v>74.489999999999995</v>
      </c>
      <c r="E166" s="496">
        <v>10.28</v>
      </c>
      <c r="F166" s="348"/>
      <c r="G166" s="348"/>
      <c r="H166" s="348"/>
      <c r="I166" s="348"/>
      <c r="J166" s="348"/>
      <c r="K166" s="348"/>
      <c r="L166" s="348"/>
      <c r="M166" s="348"/>
      <c r="N166" s="348"/>
      <c r="O166" s="348"/>
      <c r="P166" s="348"/>
      <c r="Q166" s="348"/>
      <c r="R166" s="348"/>
      <c r="S166" s="348"/>
      <c r="T166" s="348"/>
      <c r="U166" s="54"/>
      <c r="V166" s="34"/>
    </row>
    <row r="167" spans="2:22" ht="15.5" x14ac:dyDescent="0.25">
      <c r="B167" s="498" t="s">
        <v>676</v>
      </c>
      <c r="C167" s="473" t="s">
        <v>630</v>
      </c>
      <c r="D167" s="473" t="s">
        <v>631</v>
      </c>
      <c r="E167" s="493" t="s">
        <v>632</v>
      </c>
      <c r="F167" s="348"/>
      <c r="G167" s="348"/>
      <c r="H167" s="348"/>
      <c r="I167" s="348"/>
      <c r="J167" s="348"/>
      <c r="K167" s="348"/>
      <c r="L167" s="348"/>
      <c r="M167" s="348"/>
      <c r="N167" s="348"/>
      <c r="O167" s="348"/>
      <c r="P167" s="348"/>
      <c r="Q167" s="348"/>
      <c r="R167" s="348"/>
      <c r="S167" s="348"/>
      <c r="T167" s="348"/>
      <c r="U167" s="54"/>
      <c r="V167" s="34"/>
    </row>
    <row r="168" spans="2:22" x14ac:dyDescent="0.25">
      <c r="B168" s="495" t="s">
        <v>677</v>
      </c>
      <c r="C168" s="483">
        <v>9.9499999999999993</v>
      </c>
      <c r="D168" s="483">
        <v>90.7</v>
      </c>
      <c r="E168" s="496">
        <v>902.46500000000003</v>
      </c>
      <c r="F168" s="348"/>
      <c r="G168" s="348"/>
      <c r="H168" s="348"/>
      <c r="I168" s="348"/>
      <c r="J168" s="348"/>
      <c r="K168" s="348"/>
      <c r="L168" s="348"/>
      <c r="M168" s="348"/>
      <c r="N168" s="348"/>
      <c r="O168" s="348"/>
      <c r="P168" s="348"/>
      <c r="Q168" s="348"/>
      <c r="R168" s="348"/>
      <c r="S168" s="348"/>
      <c r="T168" s="348"/>
      <c r="U168" s="54"/>
      <c r="V168" s="34"/>
    </row>
    <row r="169" spans="2:22" x14ac:dyDescent="0.25">
      <c r="B169" s="495" t="s">
        <v>678</v>
      </c>
      <c r="C169" s="483">
        <v>26.87</v>
      </c>
      <c r="D169" s="483">
        <v>85.97</v>
      </c>
      <c r="E169" s="496">
        <v>2310.0140000000001</v>
      </c>
      <c r="F169" s="348"/>
      <c r="G169" s="348"/>
      <c r="H169" s="348"/>
      <c r="I169" s="348"/>
      <c r="J169" s="348"/>
      <c r="K169" s="348"/>
      <c r="L169" s="348"/>
      <c r="M169" s="348"/>
      <c r="N169" s="348"/>
      <c r="O169" s="348"/>
      <c r="P169" s="348"/>
      <c r="Q169" s="348"/>
      <c r="R169" s="348"/>
      <c r="S169" s="348"/>
      <c r="T169" s="348"/>
      <c r="U169" s="54"/>
      <c r="V169" s="34"/>
    </row>
    <row r="170" spans="2:22" x14ac:dyDescent="0.25">
      <c r="B170" s="495" t="s">
        <v>679</v>
      </c>
      <c r="C170" s="483">
        <v>38</v>
      </c>
      <c r="D170" s="483">
        <v>75</v>
      </c>
      <c r="E170" s="496">
        <v>2850</v>
      </c>
      <c r="F170" s="348"/>
      <c r="G170" s="348"/>
      <c r="H170" s="348"/>
      <c r="I170" s="348"/>
      <c r="J170" s="348"/>
      <c r="K170" s="348"/>
      <c r="L170" s="348"/>
      <c r="M170" s="348"/>
      <c r="N170" s="348"/>
      <c r="O170" s="348"/>
      <c r="P170" s="348"/>
      <c r="Q170" s="348"/>
      <c r="R170" s="348"/>
      <c r="S170" s="348"/>
      <c r="T170" s="348"/>
      <c r="U170" s="54"/>
      <c r="V170" s="34"/>
    </row>
    <row r="171" spans="2:22" x14ac:dyDescent="0.25">
      <c r="B171" s="495" t="s">
        <v>667</v>
      </c>
      <c r="C171" s="483">
        <v>30</v>
      </c>
      <c r="D171" s="483">
        <v>102.41</v>
      </c>
      <c r="E171" s="496">
        <v>3072.3</v>
      </c>
      <c r="F171" s="348"/>
      <c r="G171" s="348"/>
      <c r="H171" s="348"/>
      <c r="I171" s="348"/>
      <c r="J171" s="348"/>
      <c r="K171" s="348"/>
      <c r="L171" s="348"/>
      <c r="M171" s="348"/>
      <c r="N171" s="348"/>
      <c r="O171" s="348"/>
      <c r="P171" s="348"/>
      <c r="Q171" s="348"/>
      <c r="R171" s="348"/>
      <c r="S171" s="348"/>
      <c r="T171" s="348"/>
      <c r="U171" s="54"/>
      <c r="V171" s="34"/>
    </row>
    <row r="172" spans="2:22" ht="15.5" x14ac:dyDescent="0.25">
      <c r="B172" s="498" t="s">
        <v>680</v>
      </c>
      <c r="C172" s="473" t="s">
        <v>642</v>
      </c>
      <c r="D172" s="473" t="s">
        <v>631</v>
      </c>
      <c r="E172" s="493" t="s">
        <v>643</v>
      </c>
      <c r="F172" s="348"/>
      <c r="G172" s="348"/>
      <c r="H172" s="348"/>
      <c r="I172" s="348"/>
      <c r="J172" s="348"/>
      <c r="K172" s="348"/>
      <c r="L172" s="348"/>
      <c r="M172" s="348"/>
      <c r="N172" s="348"/>
      <c r="O172" s="348"/>
      <c r="P172" s="348"/>
      <c r="Q172" s="348"/>
      <c r="R172" s="348"/>
      <c r="S172" s="348"/>
      <c r="T172" s="348"/>
      <c r="U172" s="54"/>
      <c r="V172" s="34"/>
    </row>
    <row r="173" spans="2:22" ht="14.5" x14ac:dyDescent="0.25">
      <c r="B173" s="495" t="s">
        <v>681</v>
      </c>
      <c r="C173" s="476" t="s">
        <v>682</v>
      </c>
      <c r="D173" s="483">
        <v>274.32</v>
      </c>
      <c r="E173" s="496">
        <v>2.5000000000000001E-2</v>
      </c>
      <c r="F173" s="348"/>
      <c r="G173" s="348"/>
      <c r="H173" s="348"/>
      <c r="I173" s="348"/>
      <c r="J173" s="348"/>
      <c r="K173" s="348"/>
      <c r="L173" s="348"/>
      <c r="M173" s="348"/>
      <c r="N173" s="348"/>
      <c r="O173" s="348"/>
      <c r="P173" s="348"/>
      <c r="Q173" s="348"/>
      <c r="R173" s="348"/>
      <c r="S173" s="348"/>
      <c r="T173" s="348"/>
      <c r="U173" s="54"/>
      <c r="V173" s="34"/>
    </row>
    <row r="174" spans="2:22" ht="14.5" x14ac:dyDescent="0.25">
      <c r="B174" s="495" t="s">
        <v>683</v>
      </c>
      <c r="C174" s="476" t="s">
        <v>684</v>
      </c>
      <c r="D174" s="483">
        <v>46.85</v>
      </c>
      <c r="E174" s="496">
        <v>2.8000000000000001E-2</v>
      </c>
      <c r="F174" s="348"/>
      <c r="G174" s="348"/>
      <c r="H174" s="348"/>
      <c r="I174" s="348"/>
      <c r="J174" s="348"/>
      <c r="K174" s="348"/>
      <c r="L174" s="348"/>
      <c r="M174" s="348"/>
      <c r="N174" s="348"/>
      <c r="O174" s="348"/>
      <c r="P174" s="348"/>
      <c r="Q174" s="348"/>
      <c r="R174" s="348"/>
      <c r="S174" s="348"/>
      <c r="T174" s="348"/>
      <c r="U174" s="54"/>
      <c r="V174" s="34"/>
    </row>
    <row r="175" spans="2:22" ht="14.5" x14ac:dyDescent="0.25">
      <c r="B175" s="495" t="s">
        <v>685</v>
      </c>
      <c r="C175" s="476" t="s">
        <v>686</v>
      </c>
      <c r="D175" s="483">
        <v>61.46</v>
      </c>
      <c r="E175" s="496">
        <v>0.155</v>
      </c>
      <c r="F175" s="348"/>
      <c r="G175" s="348"/>
      <c r="H175" s="348"/>
      <c r="I175" s="348"/>
      <c r="J175" s="348"/>
      <c r="K175" s="348"/>
      <c r="L175" s="348"/>
      <c r="M175" s="348"/>
      <c r="N175" s="348"/>
      <c r="O175" s="348"/>
      <c r="P175" s="348"/>
      <c r="Q175" s="348"/>
      <c r="R175" s="348"/>
      <c r="S175" s="348"/>
      <c r="T175" s="348"/>
      <c r="U175" s="54"/>
      <c r="V175" s="34"/>
    </row>
    <row r="176" spans="2:22" ht="14.5" x14ac:dyDescent="0.25">
      <c r="B176" s="495" t="s">
        <v>687</v>
      </c>
      <c r="C176" s="476" t="s">
        <v>688</v>
      </c>
      <c r="D176" s="483">
        <v>59</v>
      </c>
      <c r="E176" s="496">
        <v>8.2000000000000003E-2</v>
      </c>
      <c r="F176" s="348"/>
      <c r="G176" s="348"/>
      <c r="H176" s="348"/>
      <c r="I176" s="348"/>
      <c r="J176" s="348"/>
      <c r="K176" s="348"/>
      <c r="L176" s="348"/>
      <c r="M176" s="348"/>
      <c r="N176" s="348"/>
      <c r="O176" s="348"/>
      <c r="P176" s="348"/>
      <c r="Q176" s="348"/>
      <c r="R176" s="348"/>
      <c r="S176" s="348"/>
      <c r="T176" s="348"/>
      <c r="U176" s="54"/>
      <c r="V176" s="34"/>
    </row>
    <row r="177" spans="2:24" ht="15.5" x14ac:dyDescent="0.25">
      <c r="B177" s="498" t="s">
        <v>689</v>
      </c>
      <c r="C177" s="473" t="s">
        <v>630</v>
      </c>
      <c r="D177" s="473" t="s">
        <v>631</v>
      </c>
      <c r="E177" s="493" t="s">
        <v>632</v>
      </c>
      <c r="F177" s="348"/>
      <c r="G177" s="348"/>
      <c r="H177" s="348"/>
      <c r="I177" s="348"/>
      <c r="J177" s="348"/>
      <c r="K177" s="348"/>
      <c r="L177" s="348"/>
      <c r="M177" s="348"/>
      <c r="N177" s="348"/>
      <c r="O177" s="348"/>
      <c r="P177" s="348"/>
      <c r="Q177" s="348"/>
      <c r="R177" s="348"/>
      <c r="S177" s="348"/>
      <c r="T177" s="348"/>
      <c r="U177" s="54"/>
      <c r="V177" s="34"/>
    </row>
    <row r="178" spans="2:24" x14ac:dyDescent="0.25">
      <c r="B178" s="495" t="s">
        <v>690</v>
      </c>
      <c r="C178" s="483">
        <v>15.38</v>
      </c>
      <c r="D178" s="483">
        <v>93.8</v>
      </c>
      <c r="E178" s="496">
        <v>1442.644</v>
      </c>
      <c r="F178" s="348"/>
      <c r="G178" s="348"/>
      <c r="H178" s="348"/>
      <c r="I178" s="348"/>
      <c r="J178" s="348"/>
      <c r="K178" s="348"/>
      <c r="L178" s="348"/>
      <c r="M178" s="348"/>
      <c r="N178" s="348"/>
      <c r="O178" s="348"/>
      <c r="P178" s="348"/>
      <c r="Q178" s="348"/>
      <c r="R178" s="348"/>
      <c r="S178" s="348"/>
      <c r="T178" s="348"/>
      <c r="U178" s="54"/>
      <c r="V178" s="34"/>
    </row>
    <row r="179" spans="2:24" x14ac:dyDescent="0.25">
      <c r="B179" s="495" t="s">
        <v>691</v>
      </c>
      <c r="C179" s="483">
        <v>8.25</v>
      </c>
      <c r="D179" s="483">
        <v>118.17</v>
      </c>
      <c r="E179" s="496">
        <v>974.90300000000002</v>
      </c>
      <c r="F179" s="348"/>
      <c r="G179" s="348"/>
      <c r="H179" s="348"/>
      <c r="I179" s="348"/>
      <c r="J179" s="348"/>
      <c r="K179" s="348"/>
      <c r="L179" s="348"/>
      <c r="M179" s="348"/>
      <c r="N179" s="348"/>
      <c r="O179" s="348"/>
      <c r="P179" s="348"/>
      <c r="Q179" s="348"/>
      <c r="R179" s="348"/>
      <c r="S179" s="348"/>
      <c r="T179" s="348"/>
      <c r="U179" s="54"/>
      <c r="V179" s="34"/>
    </row>
    <row r="180" spans="2:24" x14ac:dyDescent="0.25">
      <c r="B180" s="495" t="s">
        <v>692</v>
      </c>
      <c r="C180" s="483">
        <v>8</v>
      </c>
      <c r="D180" s="483">
        <v>111.84</v>
      </c>
      <c r="E180" s="496">
        <v>894.72</v>
      </c>
      <c r="F180" s="348"/>
      <c r="G180" s="348"/>
      <c r="H180" s="348"/>
      <c r="I180" s="348"/>
      <c r="J180" s="348"/>
      <c r="K180" s="348"/>
      <c r="L180" s="348"/>
      <c r="M180" s="348"/>
      <c r="N180" s="348"/>
      <c r="O180" s="348"/>
      <c r="P180" s="348"/>
      <c r="Q180" s="348"/>
      <c r="R180" s="348"/>
      <c r="S180" s="348"/>
      <c r="T180" s="348"/>
      <c r="U180" s="54"/>
      <c r="V180" s="34"/>
    </row>
    <row r="181" spans="2:24" x14ac:dyDescent="0.25">
      <c r="B181" s="495" t="s">
        <v>693</v>
      </c>
      <c r="C181" s="483">
        <v>25.83</v>
      </c>
      <c r="D181" s="483">
        <v>105.51</v>
      </c>
      <c r="E181" s="496">
        <v>2725.3229999999999</v>
      </c>
      <c r="F181" s="348"/>
      <c r="G181" s="348"/>
      <c r="H181" s="348"/>
      <c r="I181" s="348"/>
      <c r="J181" s="348"/>
      <c r="K181" s="348"/>
      <c r="L181" s="348"/>
      <c r="M181" s="348"/>
      <c r="N181" s="348"/>
      <c r="O181" s="348"/>
      <c r="P181" s="348"/>
      <c r="Q181" s="348"/>
      <c r="R181" s="348"/>
      <c r="S181" s="348"/>
      <c r="T181" s="348"/>
      <c r="U181" s="54"/>
      <c r="V181" s="34"/>
    </row>
    <row r="182" spans="2:24" ht="15.5" x14ac:dyDescent="0.25">
      <c r="B182" s="498" t="s">
        <v>694</v>
      </c>
      <c r="C182" s="473" t="s">
        <v>642</v>
      </c>
      <c r="D182" s="473" t="s">
        <v>631</v>
      </c>
      <c r="E182" s="493" t="s">
        <v>643</v>
      </c>
      <c r="F182" s="348"/>
      <c r="G182" s="348"/>
      <c r="H182" s="348"/>
      <c r="I182" s="348"/>
      <c r="J182" s="348"/>
      <c r="K182" s="348"/>
      <c r="L182" s="348"/>
      <c r="M182" s="348"/>
      <c r="N182" s="348"/>
      <c r="O182" s="348"/>
      <c r="P182" s="348"/>
      <c r="Q182" s="348"/>
      <c r="R182" s="348"/>
      <c r="S182" s="348"/>
      <c r="T182" s="348"/>
      <c r="U182" s="54"/>
      <c r="V182" s="34"/>
    </row>
    <row r="183" spans="2:24" ht="14.5" x14ac:dyDescent="0.25">
      <c r="B183" s="495" t="s">
        <v>695</v>
      </c>
      <c r="C183" s="476" t="s">
        <v>696</v>
      </c>
      <c r="D183" s="483">
        <v>52.07</v>
      </c>
      <c r="E183" s="496">
        <v>4.3999999999999997E-2</v>
      </c>
      <c r="F183" s="348"/>
      <c r="G183" s="348"/>
      <c r="H183" s="348"/>
      <c r="I183" s="348"/>
      <c r="J183" s="348"/>
      <c r="K183" s="348"/>
      <c r="L183" s="348"/>
      <c r="M183" s="348"/>
      <c r="N183" s="348"/>
      <c r="O183" s="348"/>
      <c r="P183" s="348"/>
      <c r="Q183" s="348"/>
      <c r="R183" s="348"/>
      <c r="S183" s="348"/>
      <c r="T183" s="348"/>
      <c r="U183" s="54"/>
      <c r="V183" s="34"/>
    </row>
    <row r="184" spans="2:24" ht="15.5" x14ac:dyDescent="0.25">
      <c r="B184" s="498" t="s">
        <v>697</v>
      </c>
      <c r="C184" s="473" t="s">
        <v>646</v>
      </c>
      <c r="D184" s="473" t="s">
        <v>631</v>
      </c>
      <c r="E184" s="493" t="s">
        <v>643</v>
      </c>
      <c r="F184" s="348"/>
      <c r="G184" s="348"/>
      <c r="H184" s="348"/>
      <c r="I184" s="348"/>
      <c r="J184" s="348"/>
      <c r="K184" s="348"/>
      <c r="L184" s="348"/>
      <c r="M184" s="348"/>
      <c r="N184" s="348"/>
      <c r="O184" s="348"/>
      <c r="P184" s="348"/>
      <c r="Q184" s="348"/>
      <c r="R184" s="348"/>
      <c r="S184" s="348"/>
      <c r="T184" s="348"/>
      <c r="U184" s="54"/>
      <c r="V184" s="34"/>
    </row>
    <row r="185" spans="2:24" x14ac:dyDescent="0.25">
      <c r="B185" s="495" t="s">
        <v>656</v>
      </c>
      <c r="C185" s="477">
        <v>8.4000000000000005E-2</v>
      </c>
      <c r="D185" s="483">
        <v>68.44</v>
      </c>
      <c r="E185" s="496">
        <v>5.7489999999999997</v>
      </c>
      <c r="F185" s="348"/>
      <c r="G185" s="348"/>
      <c r="H185" s="348"/>
      <c r="I185" s="348"/>
      <c r="J185" s="348"/>
      <c r="K185" s="348"/>
      <c r="L185" s="348"/>
      <c r="M185" s="348"/>
      <c r="N185" s="348"/>
      <c r="O185" s="348"/>
      <c r="P185" s="348"/>
      <c r="Q185" s="348"/>
      <c r="R185" s="348"/>
      <c r="S185" s="348"/>
      <c r="T185" s="348"/>
      <c r="U185" s="54"/>
      <c r="V185" s="34"/>
    </row>
    <row r="186" spans="2:24" x14ac:dyDescent="0.25">
      <c r="B186" s="495" t="s">
        <v>698</v>
      </c>
      <c r="C186" s="477">
        <v>0.128</v>
      </c>
      <c r="D186" s="483">
        <v>73.84</v>
      </c>
      <c r="E186" s="496">
        <v>9.452</v>
      </c>
      <c r="F186" s="348"/>
      <c r="G186" s="348"/>
      <c r="H186" s="348"/>
      <c r="I186" s="348"/>
      <c r="J186" s="348"/>
      <c r="K186" s="348"/>
      <c r="L186" s="348"/>
      <c r="M186" s="348"/>
      <c r="N186" s="348"/>
      <c r="O186" s="348"/>
      <c r="P186" s="348"/>
      <c r="Q186" s="348"/>
      <c r="R186" s="348"/>
      <c r="S186" s="348"/>
      <c r="T186" s="348"/>
      <c r="U186" s="54"/>
      <c r="V186" s="34"/>
    </row>
    <row r="187" spans="2:24" x14ac:dyDescent="0.25">
      <c r="B187" s="495" t="s">
        <v>699</v>
      </c>
      <c r="C187" s="477">
        <v>0.125</v>
      </c>
      <c r="D187" s="483">
        <v>71.06</v>
      </c>
      <c r="E187" s="496">
        <v>8.8829999999999991</v>
      </c>
      <c r="F187" s="348"/>
      <c r="G187" s="348"/>
      <c r="H187" s="348"/>
      <c r="I187" s="348"/>
      <c r="J187" s="348"/>
      <c r="K187" s="348"/>
      <c r="L187" s="348"/>
      <c r="M187" s="348"/>
      <c r="N187" s="348"/>
      <c r="O187" s="348"/>
      <c r="P187" s="348"/>
      <c r="Q187" s="348"/>
      <c r="R187" s="348"/>
      <c r="S187" s="348"/>
      <c r="T187" s="348"/>
      <c r="U187" s="54"/>
      <c r="V187" s="34"/>
    </row>
    <row r="188" spans="2:24" ht="13" thickBot="1" x14ac:dyDescent="0.3">
      <c r="B188" s="499" t="s">
        <v>700</v>
      </c>
      <c r="C188" s="500">
        <v>0.12</v>
      </c>
      <c r="D188" s="501">
        <v>81.55</v>
      </c>
      <c r="E188" s="502">
        <v>9.7859999999999996</v>
      </c>
      <c r="F188" s="349"/>
      <c r="G188" s="349"/>
      <c r="H188" s="349"/>
      <c r="I188" s="349"/>
      <c r="J188" s="349"/>
      <c r="K188" s="349"/>
      <c r="L188" s="349"/>
      <c r="M188" s="349"/>
      <c r="N188" s="349"/>
      <c r="O188" s="349"/>
      <c r="P188" s="349"/>
      <c r="Q188" s="349"/>
      <c r="R188" s="349"/>
      <c r="S188" s="349"/>
      <c r="T188" s="349"/>
      <c r="U188" s="54"/>
      <c r="V188" s="34"/>
    </row>
    <row r="189" spans="2:24" x14ac:dyDescent="0.25">
      <c r="C189" s="34"/>
      <c r="D189" s="349"/>
      <c r="E189" s="349"/>
      <c r="F189" s="349"/>
      <c r="G189" s="349"/>
      <c r="H189" s="349"/>
      <c r="I189" s="349"/>
      <c r="J189" s="349"/>
      <c r="K189" s="349"/>
      <c r="L189" s="349"/>
      <c r="M189" s="349"/>
      <c r="N189" s="349"/>
      <c r="O189" s="349"/>
      <c r="P189" s="349"/>
      <c r="Q189" s="349"/>
      <c r="R189" s="349"/>
      <c r="S189" s="349"/>
      <c r="T189" s="349"/>
      <c r="U189" s="349"/>
      <c r="V189" s="349"/>
      <c r="W189" s="54"/>
      <c r="X189" s="34"/>
    </row>
    <row r="190" spans="2:24" ht="16" thickBot="1" x14ac:dyDescent="0.3">
      <c r="B190" s="351" t="s">
        <v>701</v>
      </c>
      <c r="C190" s="34"/>
      <c r="D190" s="349"/>
      <c r="E190" s="349"/>
      <c r="F190" s="349"/>
      <c r="G190" s="349"/>
      <c r="H190" s="349"/>
      <c r="I190" s="349"/>
      <c r="J190" s="349"/>
      <c r="K190" s="349"/>
      <c r="L190" s="349"/>
      <c r="M190" s="349"/>
      <c r="N190" s="349"/>
      <c r="O190" s="349"/>
      <c r="P190" s="349"/>
      <c r="Q190" s="349"/>
      <c r="R190" s="349"/>
      <c r="S190" s="349"/>
      <c r="T190" s="349"/>
      <c r="U190" s="349"/>
      <c r="V190" s="349"/>
      <c r="W190" s="54"/>
      <c r="X190" s="34"/>
    </row>
    <row r="191" spans="2:24" ht="15.5" x14ac:dyDescent="0.4">
      <c r="B191" s="503" t="s">
        <v>645</v>
      </c>
      <c r="C191" s="504" t="s">
        <v>631</v>
      </c>
      <c r="D191" s="505" t="s">
        <v>647</v>
      </c>
      <c r="E191" s="349"/>
      <c r="F191" s="349"/>
      <c r="G191" s="349"/>
      <c r="H191" s="349"/>
      <c r="I191" s="349"/>
      <c r="J191" s="349"/>
      <c r="K191" s="349"/>
      <c r="L191" s="349"/>
      <c r="M191" s="349"/>
      <c r="N191" s="349"/>
      <c r="O191" s="349"/>
      <c r="P191" s="349"/>
      <c r="Q191" s="349"/>
      <c r="R191" s="349"/>
      <c r="S191" s="349"/>
      <c r="T191" s="349"/>
      <c r="U191" s="349"/>
      <c r="V191" s="349"/>
      <c r="W191" s="54"/>
      <c r="X191" s="34"/>
    </row>
    <row r="192" spans="2:24" x14ac:dyDescent="0.25">
      <c r="B192" s="506" t="s">
        <v>299</v>
      </c>
      <c r="C192" s="347">
        <v>70.22</v>
      </c>
      <c r="D192" s="507">
        <v>8.7780000000000005</v>
      </c>
      <c r="E192" s="349"/>
      <c r="F192" s="349"/>
      <c r="G192" s="349"/>
      <c r="H192" s="349"/>
      <c r="I192" s="349"/>
      <c r="J192" s="349"/>
      <c r="K192" s="349"/>
      <c r="L192" s="349"/>
      <c r="M192" s="349"/>
      <c r="N192" s="349"/>
      <c r="O192" s="349"/>
      <c r="P192" s="349"/>
      <c r="Q192" s="349"/>
      <c r="R192" s="349"/>
      <c r="S192" s="349"/>
      <c r="T192" s="349"/>
      <c r="U192" s="349"/>
      <c r="V192" s="349"/>
      <c r="W192" s="54"/>
      <c r="X192" s="34"/>
    </row>
    <row r="193" spans="2:24" x14ac:dyDescent="0.25">
      <c r="B193" s="495" t="s">
        <v>300</v>
      </c>
      <c r="C193" s="347">
        <v>73.959999999999994</v>
      </c>
      <c r="D193" s="507">
        <v>10.206</v>
      </c>
      <c r="E193" s="349"/>
      <c r="F193" s="349"/>
      <c r="G193" s="349"/>
      <c r="H193" s="349"/>
      <c r="I193" s="349"/>
      <c r="J193" s="349"/>
      <c r="K193" s="349"/>
      <c r="L193" s="349"/>
      <c r="M193" s="349"/>
      <c r="N193" s="349"/>
      <c r="O193" s="349"/>
      <c r="P193" s="349"/>
      <c r="Q193" s="349"/>
      <c r="R193" s="349"/>
      <c r="S193" s="349"/>
      <c r="T193" s="349"/>
      <c r="U193" s="349"/>
      <c r="V193" s="349"/>
      <c r="W193" s="54"/>
      <c r="X193" s="34"/>
    </row>
    <row r="194" spans="2:24" x14ac:dyDescent="0.25">
      <c r="B194" s="506" t="s">
        <v>301</v>
      </c>
      <c r="C194" s="347">
        <v>61.46</v>
      </c>
      <c r="D194" s="507">
        <v>5.593</v>
      </c>
      <c r="E194" s="349"/>
      <c r="F194" s="349"/>
      <c r="G194" s="349"/>
      <c r="H194" s="349"/>
      <c r="I194" s="349"/>
      <c r="J194" s="349"/>
      <c r="K194" s="349"/>
      <c r="L194" s="349"/>
      <c r="M194" s="349"/>
      <c r="N194" s="349"/>
      <c r="O194" s="349"/>
      <c r="P194" s="349"/>
      <c r="Q194" s="349"/>
      <c r="R194" s="349"/>
      <c r="S194" s="349"/>
      <c r="T194" s="349"/>
      <c r="U194" s="349"/>
      <c r="V194" s="349"/>
      <c r="W194" s="54"/>
      <c r="X194" s="34"/>
    </row>
    <row r="195" spans="2:24" x14ac:dyDescent="0.25">
      <c r="B195" s="467" t="s">
        <v>302</v>
      </c>
      <c r="C195" s="361">
        <v>53.02</v>
      </c>
      <c r="D195" s="507">
        <v>5.5E-2</v>
      </c>
    </row>
    <row r="196" spans="2:24" x14ac:dyDescent="0.25">
      <c r="B196" s="506" t="s">
        <v>304</v>
      </c>
      <c r="C196" s="481">
        <v>75.2</v>
      </c>
      <c r="D196" s="507">
        <v>10.151999999999999</v>
      </c>
    </row>
    <row r="197" spans="2:24" ht="13" thickBot="1" x14ac:dyDescent="0.3">
      <c r="B197" s="508" t="s">
        <v>305</v>
      </c>
      <c r="C197" s="509">
        <v>62.98</v>
      </c>
      <c r="D197" s="472">
        <v>5.7939999999999996</v>
      </c>
    </row>
    <row r="200" spans="2:24" ht="16" thickBot="1" x14ac:dyDescent="0.4">
      <c r="B200" s="184" t="s">
        <v>702</v>
      </c>
    </row>
    <row r="201" spans="2:24" ht="28" x14ac:dyDescent="0.3">
      <c r="B201" s="510" t="s">
        <v>703</v>
      </c>
      <c r="C201" s="511" t="s">
        <v>704</v>
      </c>
      <c r="D201" s="512" t="s">
        <v>705</v>
      </c>
      <c r="E201" s="489" t="s">
        <v>706</v>
      </c>
      <c r="F201" s="4"/>
      <c r="G201" s="4"/>
      <c r="H201" s="4"/>
      <c r="I201" s="4"/>
      <c r="J201" s="4"/>
      <c r="K201" s="4"/>
      <c r="L201" s="4"/>
      <c r="M201" s="4"/>
      <c r="N201" s="4"/>
      <c r="O201" s="4"/>
      <c r="P201" s="4"/>
      <c r="Q201" s="4"/>
      <c r="R201" s="4"/>
      <c r="S201" s="4"/>
      <c r="T201" s="4"/>
      <c r="U201" s="4"/>
      <c r="V201" s="4"/>
      <c r="W201" s="4"/>
      <c r="X201" s="34"/>
    </row>
    <row r="202" spans="2:24" ht="13" x14ac:dyDescent="0.3">
      <c r="B202" s="513" t="s">
        <v>707</v>
      </c>
      <c r="C202" s="479" t="s">
        <v>319</v>
      </c>
      <c r="D202" s="484">
        <v>1256.8699999999999</v>
      </c>
      <c r="E202" s="514">
        <v>0.56999999999999995</v>
      </c>
      <c r="F202" s="4"/>
      <c r="G202" s="4"/>
      <c r="H202" s="4"/>
      <c r="I202" s="4"/>
      <c r="J202" s="4"/>
      <c r="K202" s="4"/>
      <c r="L202" s="4"/>
      <c r="M202" s="4"/>
      <c r="N202" s="4"/>
      <c r="O202" s="4"/>
      <c r="P202" s="4"/>
      <c r="Q202" s="4"/>
      <c r="R202" s="4"/>
      <c r="S202" s="4"/>
      <c r="T202" s="4"/>
      <c r="U202" s="4"/>
      <c r="V202" s="4"/>
      <c r="W202" s="4"/>
      <c r="X202" s="34"/>
    </row>
    <row r="203" spans="2:24" ht="13" x14ac:dyDescent="0.3">
      <c r="B203" s="513" t="s">
        <v>708</v>
      </c>
      <c r="C203" s="479" t="s">
        <v>321</v>
      </c>
      <c r="D203" s="484">
        <v>448.57</v>
      </c>
      <c r="E203" s="514">
        <v>0.20300000000000001</v>
      </c>
      <c r="F203" s="4"/>
      <c r="G203" s="4"/>
      <c r="H203" s="4"/>
      <c r="I203" s="4"/>
      <c r="J203" s="4"/>
      <c r="K203" s="4"/>
      <c r="L203" s="4"/>
      <c r="M203" s="4"/>
      <c r="N203" s="4"/>
      <c r="O203" s="4"/>
      <c r="P203" s="4"/>
      <c r="Q203" s="4"/>
      <c r="R203" s="4"/>
      <c r="S203" s="4"/>
      <c r="T203" s="4"/>
      <c r="U203" s="4"/>
      <c r="V203" s="4"/>
      <c r="W203" s="4"/>
      <c r="X203" s="34"/>
    </row>
    <row r="204" spans="2:24" ht="13" x14ac:dyDescent="0.3">
      <c r="B204" s="513" t="s">
        <v>709</v>
      </c>
      <c r="C204" s="480" t="s">
        <v>322</v>
      </c>
      <c r="D204" s="484">
        <v>1177.6099999999999</v>
      </c>
      <c r="E204" s="514">
        <v>0.53400000000000003</v>
      </c>
      <c r="F204" s="4"/>
      <c r="G204" s="4"/>
      <c r="H204" s="4"/>
      <c r="I204" s="4"/>
      <c r="J204" s="4"/>
      <c r="K204" s="4"/>
      <c r="L204" s="4"/>
      <c r="M204" s="4"/>
      <c r="N204" s="4"/>
      <c r="O204" s="4"/>
      <c r="P204" s="4"/>
      <c r="Q204" s="4"/>
      <c r="R204" s="4"/>
      <c r="S204" s="4"/>
      <c r="T204" s="4"/>
      <c r="U204" s="4"/>
      <c r="V204" s="4"/>
      <c r="W204" s="4"/>
      <c r="X204" s="34"/>
    </row>
    <row r="205" spans="2:24" x14ac:dyDescent="0.25">
      <c r="B205" s="513" t="s">
        <v>710</v>
      </c>
      <c r="C205" s="474" t="s">
        <v>323</v>
      </c>
      <c r="D205" s="484">
        <v>610.82000000000005</v>
      </c>
      <c r="E205" s="514">
        <v>0.27700000000000002</v>
      </c>
      <c r="F205" s="349"/>
      <c r="G205" s="349"/>
      <c r="H205" s="349"/>
      <c r="I205" s="349"/>
      <c r="J205" s="349"/>
      <c r="K205" s="349"/>
      <c r="L205" s="349"/>
      <c r="M205" s="349"/>
      <c r="N205" s="349"/>
      <c r="O205" s="349"/>
      <c r="P205" s="349"/>
      <c r="Q205" s="349"/>
      <c r="R205" s="349"/>
      <c r="S205" s="349"/>
      <c r="T205" s="349"/>
      <c r="U205" s="349"/>
      <c r="V205" s="349"/>
      <c r="W205" s="34"/>
      <c r="X205" s="703"/>
    </row>
    <row r="206" spans="2:24" x14ac:dyDescent="0.25">
      <c r="B206" s="513" t="s">
        <v>711</v>
      </c>
      <c r="C206" s="474" t="s">
        <v>324</v>
      </c>
      <c r="D206" s="484">
        <v>1218.17</v>
      </c>
      <c r="E206" s="514">
        <v>0.55300000000000005</v>
      </c>
      <c r="F206" s="349"/>
      <c r="G206" s="349"/>
      <c r="H206" s="349"/>
      <c r="I206" s="349"/>
      <c r="J206" s="349"/>
      <c r="K206" s="349"/>
      <c r="L206" s="349"/>
      <c r="M206" s="349"/>
      <c r="N206" s="349"/>
      <c r="O206" s="349"/>
      <c r="P206" s="349"/>
      <c r="Q206" s="349"/>
      <c r="R206" s="349"/>
      <c r="S206" s="349"/>
      <c r="T206" s="349"/>
      <c r="U206" s="349"/>
      <c r="V206" s="349"/>
      <c r="W206" s="34"/>
      <c r="X206" s="703"/>
    </row>
    <row r="207" spans="2:24" x14ac:dyDescent="0.25">
      <c r="B207" s="513" t="s">
        <v>712</v>
      </c>
      <c r="C207" s="474" t="s">
        <v>325</v>
      </c>
      <c r="D207" s="484">
        <v>1196.71</v>
      </c>
      <c r="E207" s="514">
        <v>0.54300000000000004</v>
      </c>
      <c r="F207" s="349"/>
      <c r="G207" s="349"/>
      <c r="H207" s="349"/>
      <c r="I207" s="349"/>
      <c r="J207" s="349"/>
      <c r="K207" s="349"/>
      <c r="L207" s="349"/>
      <c r="M207" s="349"/>
      <c r="N207" s="349"/>
      <c r="O207" s="349"/>
      <c r="P207" s="349"/>
      <c r="Q207" s="349"/>
      <c r="R207" s="349"/>
      <c r="S207" s="349"/>
      <c r="T207" s="349"/>
      <c r="U207" s="349"/>
      <c r="V207" s="349"/>
      <c r="W207" s="34"/>
      <c r="X207" s="34"/>
    </row>
    <row r="208" spans="2:24" x14ac:dyDescent="0.25">
      <c r="B208" s="513" t="s">
        <v>713</v>
      </c>
      <c r="C208" s="474" t="s">
        <v>326</v>
      </c>
      <c r="D208" s="484">
        <v>1330.16</v>
      </c>
      <c r="E208" s="514">
        <v>0.60299999999999998</v>
      </c>
      <c r="F208" s="349"/>
      <c r="G208" s="349"/>
      <c r="H208" s="349"/>
      <c r="I208" s="349"/>
      <c r="J208" s="349"/>
      <c r="K208" s="349"/>
      <c r="L208" s="349"/>
      <c r="M208" s="349"/>
      <c r="N208" s="349"/>
      <c r="O208" s="349"/>
      <c r="P208" s="349"/>
      <c r="Q208" s="349"/>
      <c r="R208" s="349"/>
      <c r="S208" s="349"/>
      <c r="T208" s="349"/>
      <c r="U208" s="349"/>
      <c r="V208" s="349"/>
      <c r="W208" s="34"/>
      <c r="X208" s="34"/>
    </row>
    <row r="209" spans="2:24" x14ac:dyDescent="0.25">
      <c r="B209" s="513" t="s">
        <v>714</v>
      </c>
      <c r="C209" s="474" t="s">
        <v>327</v>
      </c>
      <c r="D209" s="484">
        <v>1621.86</v>
      </c>
      <c r="E209" s="514">
        <v>0.73599999999999999</v>
      </c>
      <c r="F209" s="349"/>
      <c r="G209" s="349"/>
      <c r="H209" s="349"/>
      <c r="I209" s="349"/>
      <c r="J209" s="349"/>
      <c r="K209" s="349"/>
      <c r="L209" s="349"/>
      <c r="M209" s="349"/>
      <c r="N209" s="349"/>
      <c r="O209" s="349"/>
      <c r="P209" s="349"/>
      <c r="Q209" s="349"/>
      <c r="R209" s="349"/>
      <c r="S209" s="349"/>
      <c r="T209" s="349"/>
      <c r="U209" s="349"/>
      <c r="V209" s="349"/>
      <c r="W209" s="34"/>
      <c r="X209" s="34"/>
    </row>
    <row r="210" spans="2:24" x14ac:dyDescent="0.25">
      <c r="B210" s="513" t="s">
        <v>715</v>
      </c>
      <c r="C210" s="474" t="s">
        <v>328</v>
      </c>
      <c r="D210" s="484">
        <v>1610.8</v>
      </c>
      <c r="E210" s="514">
        <v>0.73099999999999998</v>
      </c>
      <c r="F210" s="349"/>
      <c r="G210" s="349"/>
      <c r="H210" s="349"/>
      <c r="I210" s="349"/>
      <c r="J210" s="349"/>
      <c r="K210" s="349"/>
      <c r="L210" s="349"/>
      <c r="M210" s="349"/>
      <c r="N210" s="349"/>
      <c r="O210" s="349"/>
      <c r="P210" s="349"/>
      <c r="Q210" s="349"/>
      <c r="R210" s="349"/>
      <c r="S210" s="349"/>
      <c r="T210" s="349"/>
      <c r="U210" s="349"/>
      <c r="V210" s="349"/>
      <c r="W210" s="34"/>
      <c r="X210" s="34"/>
    </row>
    <row r="211" spans="2:24" x14ac:dyDescent="0.25">
      <c r="B211" s="513" t="s">
        <v>716</v>
      </c>
      <c r="C211" s="474" t="s">
        <v>329</v>
      </c>
      <c r="D211" s="484">
        <v>1536.36</v>
      </c>
      <c r="E211" s="514">
        <v>0.69699999999999995</v>
      </c>
      <c r="F211" s="349"/>
      <c r="G211" s="349"/>
      <c r="H211" s="349"/>
      <c r="I211" s="349"/>
      <c r="J211" s="349"/>
      <c r="K211" s="349"/>
      <c r="L211" s="349"/>
      <c r="M211" s="349"/>
      <c r="N211" s="349"/>
      <c r="O211" s="349"/>
      <c r="P211" s="349"/>
      <c r="Q211" s="349"/>
      <c r="R211" s="349"/>
      <c r="S211" s="349"/>
      <c r="T211" s="349"/>
      <c r="U211" s="349"/>
      <c r="V211" s="349"/>
      <c r="W211" s="34"/>
      <c r="X211" s="34"/>
    </row>
    <row r="212" spans="2:24" x14ac:dyDescent="0.25">
      <c r="B212" s="513" t="s">
        <v>717</v>
      </c>
      <c r="C212" s="474" t="s">
        <v>330</v>
      </c>
      <c r="D212" s="485">
        <v>722.07</v>
      </c>
      <c r="E212" s="496">
        <v>0.32800000000000001</v>
      </c>
      <c r="F212" s="350"/>
      <c r="G212" s="350"/>
      <c r="H212" s="350"/>
      <c r="I212" s="350"/>
      <c r="J212" s="350"/>
      <c r="K212" s="350"/>
      <c r="L212" s="350"/>
      <c r="M212" s="350"/>
      <c r="N212" s="350"/>
      <c r="O212" s="350"/>
      <c r="P212" s="350"/>
      <c r="Q212" s="350"/>
      <c r="R212" s="350"/>
      <c r="S212" s="350"/>
      <c r="T212" s="350"/>
      <c r="U212" s="350"/>
      <c r="V212" s="350"/>
      <c r="W212" s="34"/>
      <c r="X212" s="34"/>
    </row>
    <row r="213" spans="2:24" x14ac:dyDescent="0.25">
      <c r="B213" s="513" t="s">
        <v>718</v>
      </c>
      <c r="C213" s="474" t="s">
        <v>331</v>
      </c>
      <c r="D213" s="485">
        <v>842.58</v>
      </c>
      <c r="E213" s="496">
        <v>0.38200000000000001</v>
      </c>
      <c r="F213" s="350"/>
      <c r="G213" s="350"/>
      <c r="H213" s="350"/>
      <c r="I213" s="350"/>
      <c r="J213" s="350"/>
      <c r="K213" s="350"/>
      <c r="L213" s="350"/>
      <c r="M213" s="350"/>
      <c r="N213" s="350"/>
      <c r="O213" s="350"/>
      <c r="P213" s="350"/>
      <c r="Q213" s="350"/>
      <c r="R213" s="350"/>
      <c r="S213" s="350"/>
      <c r="T213" s="350"/>
      <c r="U213" s="350"/>
      <c r="V213" s="350"/>
      <c r="W213" s="34"/>
      <c r="X213" s="34"/>
    </row>
    <row r="214" spans="2:24" x14ac:dyDescent="0.25">
      <c r="B214" s="513" t="s">
        <v>719</v>
      </c>
      <c r="C214" s="474" t="s">
        <v>332</v>
      </c>
      <c r="D214" s="485">
        <v>622.41999999999996</v>
      </c>
      <c r="E214" s="496">
        <v>0.28199999999999997</v>
      </c>
      <c r="F214" s="350"/>
      <c r="G214" s="350"/>
      <c r="H214" s="350"/>
      <c r="I214" s="350"/>
      <c r="J214" s="350"/>
      <c r="K214" s="350"/>
      <c r="L214" s="350"/>
      <c r="M214" s="350"/>
      <c r="N214" s="350"/>
      <c r="O214" s="350"/>
      <c r="P214" s="350"/>
      <c r="Q214" s="350"/>
      <c r="R214" s="350"/>
      <c r="S214" s="350"/>
      <c r="T214" s="350"/>
      <c r="U214" s="350"/>
      <c r="V214" s="350"/>
      <c r="W214" s="34"/>
      <c r="X214" s="34"/>
    </row>
    <row r="215" spans="2:24" x14ac:dyDescent="0.25">
      <c r="B215" s="513" t="s">
        <v>720</v>
      </c>
      <c r="C215" s="474" t="s">
        <v>333</v>
      </c>
      <c r="D215" s="485">
        <v>1336.11</v>
      </c>
      <c r="E215" s="496">
        <v>0.60599999999999998</v>
      </c>
      <c r="F215" s="350"/>
      <c r="G215" s="350"/>
      <c r="H215" s="350"/>
      <c r="I215" s="350"/>
      <c r="J215" s="350"/>
      <c r="K215" s="350"/>
      <c r="L215" s="350"/>
      <c r="M215" s="350"/>
      <c r="N215" s="350"/>
      <c r="O215" s="350"/>
      <c r="P215" s="350"/>
      <c r="Q215" s="350"/>
      <c r="R215" s="350"/>
      <c r="S215" s="350"/>
      <c r="T215" s="350"/>
      <c r="U215" s="350"/>
      <c r="V215" s="350"/>
      <c r="W215" s="34"/>
      <c r="X215" s="34"/>
    </row>
    <row r="216" spans="2:24" x14ac:dyDescent="0.25">
      <c r="B216" s="513" t="s">
        <v>721</v>
      </c>
      <c r="C216" s="474" t="s">
        <v>334</v>
      </c>
      <c r="D216" s="485">
        <v>545.79</v>
      </c>
      <c r="E216" s="496">
        <v>0.248</v>
      </c>
      <c r="F216" s="350"/>
      <c r="G216" s="350"/>
      <c r="H216" s="350"/>
      <c r="I216" s="350"/>
      <c r="J216" s="350"/>
      <c r="K216" s="350"/>
      <c r="L216" s="350"/>
      <c r="M216" s="350"/>
      <c r="N216" s="350"/>
      <c r="O216" s="350"/>
      <c r="P216" s="350"/>
      <c r="Q216" s="350"/>
      <c r="R216" s="350"/>
      <c r="S216" s="350"/>
      <c r="T216" s="350"/>
      <c r="U216" s="350"/>
      <c r="V216" s="350"/>
      <c r="W216" s="34"/>
      <c r="X216" s="34"/>
    </row>
    <row r="217" spans="2:24" x14ac:dyDescent="0.25">
      <c r="B217" s="513" t="s">
        <v>722</v>
      </c>
      <c r="C217" s="474" t="s">
        <v>335</v>
      </c>
      <c r="D217" s="485">
        <v>1001.72</v>
      </c>
      <c r="E217" s="496">
        <v>0.45400000000000001</v>
      </c>
      <c r="F217" s="350"/>
      <c r="G217" s="350"/>
      <c r="H217" s="350"/>
      <c r="I217" s="350"/>
      <c r="J217" s="350"/>
      <c r="K217" s="350"/>
      <c r="L217" s="350"/>
      <c r="M217" s="350"/>
      <c r="N217" s="350"/>
      <c r="O217" s="350"/>
      <c r="P217" s="350"/>
      <c r="Q217" s="350"/>
      <c r="R217" s="350"/>
      <c r="S217" s="350"/>
      <c r="T217" s="350"/>
      <c r="U217" s="350"/>
      <c r="V217" s="350"/>
      <c r="W217" s="34"/>
      <c r="X217" s="34"/>
    </row>
    <row r="218" spans="2:24" x14ac:dyDescent="0.25">
      <c r="B218" s="513" t="s">
        <v>723</v>
      </c>
      <c r="C218" s="474" t="s">
        <v>336</v>
      </c>
      <c r="D218" s="484">
        <v>1629.38</v>
      </c>
      <c r="E218" s="514">
        <v>0.73899999999999999</v>
      </c>
      <c r="F218" s="349"/>
      <c r="G218" s="349"/>
      <c r="H218" s="349"/>
      <c r="I218" s="349"/>
      <c r="J218" s="349"/>
      <c r="K218" s="349"/>
      <c r="L218" s="349"/>
      <c r="M218" s="349"/>
      <c r="N218" s="349"/>
      <c r="O218" s="349"/>
      <c r="P218" s="349"/>
      <c r="Q218" s="349"/>
      <c r="R218" s="349"/>
      <c r="S218" s="349"/>
      <c r="T218" s="349"/>
      <c r="U218" s="349"/>
      <c r="V218" s="349"/>
      <c r="W218" s="34"/>
      <c r="X218" s="34"/>
    </row>
    <row r="219" spans="2:24" x14ac:dyDescent="0.25">
      <c r="B219" s="513" t="s">
        <v>724</v>
      </c>
      <c r="C219" s="474" t="s">
        <v>337</v>
      </c>
      <c r="D219" s="484">
        <v>1503.47</v>
      </c>
      <c r="E219" s="514">
        <v>0.68200000000000005</v>
      </c>
      <c r="F219" s="349"/>
      <c r="G219" s="349"/>
      <c r="H219" s="349"/>
      <c r="I219" s="349"/>
      <c r="J219" s="349"/>
      <c r="K219" s="349"/>
      <c r="L219" s="349"/>
      <c r="M219" s="349"/>
      <c r="N219" s="349"/>
      <c r="O219" s="349"/>
      <c r="P219" s="349"/>
      <c r="Q219" s="349"/>
      <c r="R219" s="349"/>
      <c r="S219" s="349"/>
      <c r="T219" s="349"/>
      <c r="U219" s="349"/>
      <c r="V219" s="349"/>
      <c r="W219" s="34"/>
      <c r="X219" s="34"/>
    </row>
    <row r="220" spans="2:24" x14ac:dyDescent="0.25">
      <c r="B220" s="513" t="s">
        <v>725</v>
      </c>
      <c r="C220" s="474" t="s">
        <v>338</v>
      </c>
      <c r="D220" s="484">
        <v>1896.74</v>
      </c>
      <c r="E220" s="514">
        <v>0.86</v>
      </c>
      <c r="F220" s="349"/>
      <c r="G220" s="349"/>
      <c r="H220" s="349"/>
      <c r="I220" s="349"/>
      <c r="J220" s="349"/>
      <c r="K220" s="349"/>
      <c r="L220" s="349"/>
      <c r="M220" s="349"/>
      <c r="N220" s="349"/>
      <c r="O220" s="349"/>
      <c r="P220" s="349"/>
      <c r="Q220" s="349"/>
      <c r="R220" s="349"/>
      <c r="S220" s="349"/>
      <c r="T220" s="349"/>
      <c r="U220" s="349"/>
      <c r="V220" s="349"/>
      <c r="W220" s="34"/>
      <c r="X220" s="34"/>
    </row>
    <row r="221" spans="2:24" x14ac:dyDescent="0.25">
      <c r="B221" s="513" t="s">
        <v>726</v>
      </c>
      <c r="C221" s="474" t="s">
        <v>339</v>
      </c>
      <c r="D221" s="484">
        <v>1799.45</v>
      </c>
      <c r="E221" s="514">
        <v>0.81599999999999995</v>
      </c>
      <c r="F221" s="349"/>
      <c r="G221" s="349"/>
      <c r="H221" s="349"/>
      <c r="I221" s="349"/>
      <c r="J221" s="349"/>
      <c r="K221" s="349"/>
      <c r="L221" s="349"/>
      <c r="M221" s="349"/>
      <c r="N221" s="349"/>
      <c r="O221" s="349"/>
      <c r="P221" s="349"/>
      <c r="Q221" s="349"/>
      <c r="R221" s="349"/>
      <c r="S221" s="349"/>
      <c r="T221" s="349"/>
      <c r="U221" s="349"/>
      <c r="V221" s="349"/>
      <c r="W221" s="34"/>
      <c r="X221" s="34"/>
    </row>
    <row r="222" spans="2:24" x14ac:dyDescent="0.25">
      <c r="B222" s="513" t="s">
        <v>727</v>
      </c>
      <c r="C222" s="474" t="s">
        <v>340</v>
      </c>
      <c r="D222" s="484">
        <v>1580.6</v>
      </c>
      <c r="E222" s="514">
        <v>0.71699999999999997</v>
      </c>
      <c r="F222" s="349"/>
      <c r="G222" s="349"/>
      <c r="H222" s="349"/>
      <c r="I222" s="349"/>
      <c r="J222" s="349"/>
      <c r="K222" s="349"/>
      <c r="L222" s="349"/>
      <c r="M222" s="349"/>
      <c r="N222" s="349"/>
      <c r="O222" s="349"/>
      <c r="P222" s="349"/>
      <c r="Q222" s="349"/>
      <c r="R222" s="349"/>
      <c r="S222" s="349"/>
      <c r="T222" s="349"/>
      <c r="U222" s="349"/>
      <c r="V222" s="349"/>
      <c r="W222" s="34"/>
      <c r="X222" s="34"/>
    </row>
    <row r="223" spans="2:24" x14ac:dyDescent="0.25">
      <c r="B223" s="513" t="s">
        <v>728</v>
      </c>
      <c r="C223" s="474" t="s">
        <v>341</v>
      </c>
      <c r="D223" s="484">
        <v>1029.82</v>
      </c>
      <c r="E223" s="514">
        <v>0.46700000000000003</v>
      </c>
      <c r="F223" s="349"/>
      <c r="G223" s="349"/>
      <c r="H223" s="349"/>
      <c r="I223" s="349"/>
      <c r="J223" s="349"/>
      <c r="K223" s="349"/>
      <c r="L223" s="349"/>
      <c r="M223" s="349"/>
      <c r="N223" s="349"/>
      <c r="O223" s="349"/>
      <c r="P223" s="349"/>
      <c r="Q223" s="349"/>
      <c r="R223" s="349"/>
      <c r="S223" s="349"/>
      <c r="T223" s="349"/>
      <c r="U223" s="349"/>
      <c r="V223" s="349"/>
      <c r="W223" s="34"/>
      <c r="X223" s="34"/>
    </row>
    <row r="224" spans="2:24" x14ac:dyDescent="0.25">
      <c r="B224" s="513" t="s">
        <v>729</v>
      </c>
      <c r="C224" s="474" t="s">
        <v>342</v>
      </c>
      <c r="D224" s="484">
        <v>1810.83</v>
      </c>
      <c r="E224" s="514">
        <v>0.82099999999999995</v>
      </c>
    </row>
    <row r="225" spans="2:5" x14ac:dyDescent="0.25">
      <c r="B225" s="513" t="s">
        <v>730</v>
      </c>
      <c r="C225" s="474" t="s">
        <v>343</v>
      </c>
      <c r="D225" s="484">
        <v>1354.09</v>
      </c>
      <c r="E225" s="514">
        <v>0.61399999999999999</v>
      </c>
    </row>
    <row r="226" spans="2:5" x14ac:dyDescent="0.25">
      <c r="B226" s="513" t="s">
        <v>731</v>
      </c>
      <c r="C226" s="474" t="s">
        <v>344</v>
      </c>
      <c r="D226" s="484">
        <v>1389.2</v>
      </c>
      <c r="E226" s="514">
        <v>0.63</v>
      </c>
    </row>
    <row r="227" spans="2:5" ht="13" thickBot="1" x14ac:dyDescent="0.3">
      <c r="B227" s="515" t="s">
        <v>732</v>
      </c>
      <c r="C227" s="516" t="s">
        <v>345</v>
      </c>
      <c r="D227" s="517">
        <v>1073.6500000000001</v>
      </c>
      <c r="E227" s="518">
        <v>0.48699999999999999</v>
      </c>
    </row>
    <row r="229" spans="2:5" ht="16" thickBot="1" x14ac:dyDescent="0.4">
      <c r="B229" s="184" t="s">
        <v>733</v>
      </c>
    </row>
    <row r="230" spans="2:5" ht="26" x14ac:dyDescent="0.25">
      <c r="B230" s="519" t="s">
        <v>734</v>
      </c>
      <c r="C230" s="520" t="s">
        <v>735</v>
      </c>
    </row>
    <row r="231" spans="2:5" x14ac:dyDescent="0.25">
      <c r="B231" s="506" t="s">
        <v>736</v>
      </c>
      <c r="C231" s="521">
        <v>0.45</v>
      </c>
    </row>
    <row r="232" spans="2:5" x14ac:dyDescent="0.25">
      <c r="B232" s="506" t="s">
        <v>737</v>
      </c>
      <c r="C232" s="521"/>
    </row>
    <row r="233" spans="2:5" x14ac:dyDescent="0.25">
      <c r="B233" s="522" t="s">
        <v>738</v>
      </c>
      <c r="C233" s="521">
        <v>0.17</v>
      </c>
    </row>
    <row r="234" spans="2:5" x14ac:dyDescent="0.25">
      <c r="B234" s="522" t="s">
        <v>739</v>
      </c>
      <c r="C234" s="521">
        <v>0.15</v>
      </c>
    </row>
    <row r="235" spans="2:5" x14ac:dyDescent="0.25">
      <c r="B235" s="522" t="s">
        <v>740</v>
      </c>
      <c r="C235" s="521">
        <v>0.25</v>
      </c>
    </row>
    <row r="236" spans="2:5" x14ac:dyDescent="0.25">
      <c r="B236" s="522" t="s">
        <v>741</v>
      </c>
      <c r="C236" s="521">
        <v>0.5</v>
      </c>
    </row>
    <row r="237" spans="2:5" x14ac:dyDescent="0.25">
      <c r="B237" s="522" t="s">
        <v>742</v>
      </c>
      <c r="C237" s="521">
        <v>0.25</v>
      </c>
    </row>
    <row r="238" spans="2:5" ht="13" thickBot="1" x14ac:dyDescent="0.3">
      <c r="B238" s="523" t="s">
        <v>743</v>
      </c>
      <c r="C238" s="524">
        <v>0.5</v>
      </c>
    </row>
    <row r="240" spans="2:5" ht="16" thickBot="1" x14ac:dyDescent="0.4">
      <c r="B240" s="184" t="s">
        <v>744</v>
      </c>
    </row>
    <row r="241" spans="2:5" ht="26" x14ac:dyDescent="0.25">
      <c r="B241" s="519" t="s">
        <v>745</v>
      </c>
      <c r="C241" s="525" t="s">
        <v>746</v>
      </c>
      <c r="D241" s="525" t="s">
        <v>747</v>
      </c>
      <c r="E241" s="520" t="s">
        <v>748</v>
      </c>
    </row>
    <row r="242" spans="2:5" ht="42" customHeight="1" x14ac:dyDescent="0.25">
      <c r="B242" s="334" t="s">
        <v>749</v>
      </c>
      <c r="C242" s="474" t="s">
        <v>750</v>
      </c>
      <c r="D242" s="474" t="s">
        <v>750</v>
      </c>
      <c r="E242" s="526" t="s">
        <v>750</v>
      </c>
    </row>
    <row r="243" spans="2:5" ht="25" x14ac:dyDescent="0.25">
      <c r="B243" s="334" t="s">
        <v>751</v>
      </c>
      <c r="C243" s="474" t="s">
        <v>752</v>
      </c>
      <c r="D243" s="474" t="s">
        <v>752</v>
      </c>
      <c r="E243" s="526" t="s">
        <v>752</v>
      </c>
    </row>
    <row r="244" spans="2:5" ht="30" customHeight="1" x14ac:dyDescent="0.25">
      <c r="B244" s="334" t="s">
        <v>753</v>
      </c>
      <c r="C244" s="474" t="s">
        <v>754</v>
      </c>
      <c r="D244" s="474" t="s">
        <v>755</v>
      </c>
      <c r="E244" s="526" t="s">
        <v>756</v>
      </c>
    </row>
    <row r="245" spans="2:5" ht="13" thickBot="1" x14ac:dyDescent="0.3">
      <c r="B245" s="335" t="s">
        <v>757</v>
      </c>
      <c r="C245" s="516" t="s">
        <v>758</v>
      </c>
      <c r="D245" s="516" t="s">
        <v>758</v>
      </c>
      <c r="E245" s="527" t="s">
        <v>758</v>
      </c>
    </row>
    <row r="248" spans="2:5" ht="13" x14ac:dyDescent="0.25">
      <c r="B248" s="530" t="s">
        <v>246</v>
      </c>
      <c r="C248" s="532" t="s">
        <v>759</v>
      </c>
    </row>
    <row r="249" spans="2:5" x14ac:dyDescent="0.25">
      <c r="B249" s="531" t="s">
        <v>760</v>
      </c>
      <c r="C249" s="347">
        <v>31</v>
      </c>
    </row>
    <row r="250" spans="2:5" x14ac:dyDescent="0.25">
      <c r="B250" s="531" t="s">
        <v>761</v>
      </c>
      <c r="C250" s="347">
        <v>29</v>
      </c>
    </row>
    <row r="251" spans="2:5" x14ac:dyDescent="0.25">
      <c r="B251" s="531" t="s">
        <v>762</v>
      </c>
      <c r="C251" s="347">
        <v>31</v>
      </c>
    </row>
    <row r="252" spans="2:5" x14ac:dyDescent="0.25">
      <c r="B252" s="531" t="s">
        <v>763</v>
      </c>
      <c r="C252" s="347">
        <v>30</v>
      </c>
    </row>
    <row r="253" spans="2:5" x14ac:dyDescent="0.25">
      <c r="B253" s="531" t="s">
        <v>764</v>
      </c>
      <c r="C253" s="347">
        <v>31</v>
      </c>
    </row>
    <row r="254" spans="2:5" x14ac:dyDescent="0.25">
      <c r="B254" s="531" t="s">
        <v>765</v>
      </c>
      <c r="C254" s="347">
        <v>30</v>
      </c>
    </row>
    <row r="255" spans="2:5" x14ac:dyDescent="0.25">
      <c r="B255" s="531" t="s">
        <v>766</v>
      </c>
      <c r="C255" s="347">
        <v>31</v>
      </c>
    </row>
    <row r="256" spans="2:5" x14ac:dyDescent="0.25">
      <c r="B256" s="531" t="s">
        <v>767</v>
      </c>
      <c r="C256" s="347">
        <v>31</v>
      </c>
    </row>
    <row r="257" spans="2:3" x14ac:dyDescent="0.25">
      <c r="B257" s="531" t="s">
        <v>768</v>
      </c>
      <c r="C257" s="347">
        <v>30</v>
      </c>
    </row>
    <row r="258" spans="2:3" x14ac:dyDescent="0.25">
      <c r="B258" s="531" t="s">
        <v>769</v>
      </c>
      <c r="C258" s="347">
        <v>31</v>
      </c>
    </row>
    <row r="259" spans="2:3" x14ac:dyDescent="0.25">
      <c r="B259" s="531" t="s">
        <v>770</v>
      </c>
      <c r="C259" s="347">
        <v>30</v>
      </c>
    </row>
    <row r="260" spans="2:3" x14ac:dyDescent="0.25">
      <c r="B260" s="531" t="s">
        <v>771</v>
      </c>
      <c r="C260" s="347">
        <v>31</v>
      </c>
    </row>
  </sheetData>
  <sheetProtection algorithmName="SHA-512" hashValue="GbOP3OQ3zUmD6Ie1FRextI9mtAO9G6fhLgcl5+HOcgmMeKGEEz2b6Vmb+DERWpR2JccRfHjeP3nR6U5czreyuQ==" saltValue="fu5BfinCDvzfO5oRk+PKiw==" spinCount="100000" sheet="1" objects="1" scenarios="1"/>
  <customSheetViews>
    <customSheetView guid="{A6F5A5FB-2E6E-47D3-842C-0D3D06DB341A}" scale="70">
      <selection activeCell="B2" sqref="B2"/>
      <rowBreaks count="2" manualBreakCount="2">
        <brk id="42" min="1" max="4" man="1"/>
        <brk id="194" min="1" max="4" man="1"/>
      </rowBreaks>
      <pageMargins left="0" right="0" top="0" bottom="0" header="0" footer="0"/>
      <printOptions horizontalCentered="1" verticalCentered="1"/>
      <pageSetup scale="52" fitToHeight="2" orientation="portrait" r:id="rId1"/>
      <headerFooter alignWithMargins="0"/>
    </customSheetView>
  </customSheetViews>
  <mergeCells count="14">
    <mergeCell ref="B85:V85"/>
    <mergeCell ref="B9:B10"/>
    <mergeCell ref="E9:E10"/>
    <mergeCell ref="B107:E107"/>
    <mergeCell ref="B121:B122"/>
    <mergeCell ref="D121:D122"/>
    <mergeCell ref="E121:E122"/>
    <mergeCell ref="C121:C122"/>
    <mergeCell ref="X205:X206"/>
    <mergeCell ref="C87:G87"/>
    <mergeCell ref="H87:R87"/>
    <mergeCell ref="S87:U87"/>
    <mergeCell ref="C86:V86"/>
    <mergeCell ref="V162:V165"/>
  </mergeCells>
  <phoneticPr fontId="2" type="noConversion"/>
  <printOptions horizontalCentered="1" verticalCentered="1"/>
  <pageMargins left="0.5" right="0.5" top="0.75" bottom="0.75" header="0.5" footer="0.5"/>
  <pageSetup scale="52" fitToHeight="2"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S162"/>
  <sheetViews>
    <sheetView showGridLines="0" topLeftCell="A61" zoomScale="80" zoomScaleNormal="80" workbookViewId="0">
      <selection activeCell="B70" sqref="B70"/>
    </sheetView>
  </sheetViews>
  <sheetFormatPr defaultColWidth="9.1796875" defaultRowHeight="12.5" x14ac:dyDescent="0.25"/>
  <cols>
    <col min="1" max="1" width="4.81640625" style="11" customWidth="1"/>
    <col min="2" max="2" width="46.81640625" style="39" customWidth="1"/>
    <col min="3" max="3" width="25.1796875" style="39" customWidth="1"/>
    <col min="4" max="4" width="26.1796875" style="39" customWidth="1"/>
    <col min="5" max="5" width="29.453125" style="64" bestFit="1" customWidth="1"/>
    <col min="6" max="6" width="31.453125" style="64" bestFit="1" customWidth="1"/>
    <col min="7" max="7" width="26.81640625" style="64" bestFit="1" customWidth="1"/>
    <col min="8" max="8" width="29" style="64" bestFit="1" customWidth="1"/>
    <col min="9" max="19" width="9.1796875" style="64"/>
    <col min="20" max="16384" width="9.1796875" style="11"/>
  </cols>
  <sheetData>
    <row r="1" spans="1:19" ht="13" x14ac:dyDescent="0.3">
      <c r="B1" s="12" t="s">
        <v>2</v>
      </c>
      <c r="E1" s="11"/>
      <c r="F1" s="11"/>
      <c r="G1" s="11"/>
      <c r="H1" s="11"/>
      <c r="I1" s="11"/>
      <c r="J1" s="11"/>
      <c r="K1" s="11"/>
      <c r="L1" s="11"/>
      <c r="M1" s="11"/>
      <c r="N1" s="11"/>
      <c r="O1" s="11"/>
      <c r="P1" s="11"/>
      <c r="Q1" s="11"/>
      <c r="R1" s="11"/>
      <c r="S1" s="11"/>
    </row>
    <row r="2" spans="1:19" ht="13" x14ac:dyDescent="0.3">
      <c r="B2" s="12" t="s">
        <v>81</v>
      </c>
      <c r="E2" s="11"/>
      <c r="F2" s="11"/>
      <c r="G2" s="11"/>
      <c r="H2" s="11"/>
      <c r="I2" s="11"/>
      <c r="J2" s="11"/>
      <c r="K2" s="11"/>
      <c r="L2" s="11"/>
      <c r="M2" s="11"/>
      <c r="N2" s="11"/>
      <c r="O2" s="11"/>
      <c r="P2" s="11"/>
      <c r="Q2" s="11"/>
      <c r="R2" s="11"/>
      <c r="S2" s="11"/>
    </row>
    <row r="3" spans="1:19" ht="18" x14ac:dyDescent="0.4">
      <c r="B3" s="66" t="s">
        <v>82</v>
      </c>
      <c r="E3" s="11"/>
      <c r="F3" s="11"/>
      <c r="G3" s="11"/>
      <c r="H3" s="11"/>
      <c r="I3" s="11"/>
      <c r="J3" s="11"/>
      <c r="K3" s="11"/>
      <c r="L3" s="11"/>
      <c r="M3" s="11"/>
      <c r="N3" s="11"/>
      <c r="O3" s="11"/>
      <c r="P3" s="11"/>
      <c r="Q3" s="11"/>
      <c r="R3" s="11"/>
      <c r="S3" s="11"/>
    </row>
    <row r="4" spans="1:19" ht="13" x14ac:dyDescent="0.3">
      <c r="B4" s="61"/>
      <c r="E4" s="11"/>
      <c r="F4" s="11"/>
      <c r="G4" s="11"/>
      <c r="H4" s="11"/>
      <c r="I4" s="11"/>
      <c r="J4" s="11"/>
      <c r="K4" s="11"/>
      <c r="L4" s="11"/>
      <c r="M4" s="11"/>
      <c r="N4" s="11"/>
      <c r="O4" s="11"/>
      <c r="P4" s="11"/>
      <c r="Q4" s="11"/>
      <c r="R4" s="11"/>
      <c r="S4" s="11"/>
    </row>
    <row r="5" spans="1:19" ht="13" x14ac:dyDescent="0.3">
      <c r="B5" s="61" t="s">
        <v>83</v>
      </c>
      <c r="C5" s="67"/>
      <c r="E5" s="11"/>
      <c r="F5" s="11"/>
      <c r="G5" s="11"/>
      <c r="H5" s="11"/>
      <c r="I5" s="11"/>
      <c r="J5" s="11"/>
      <c r="K5" s="11"/>
      <c r="L5" s="11"/>
      <c r="M5" s="11"/>
      <c r="N5" s="11"/>
      <c r="O5" s="11"/>
      <c r="P5" s="11"/>
      <c r="Q5" s="11"/>
      <c r="R5" s="11"/>
      <c r="S5" s="11"/>
    </row>
    <row r="6" spans="1:19" ht="13" x14ac:dyDescent="0.3">
      <c r="B6" s="364" t="s">
        <v>84</v>
      </c>
      <c r="C6" s="365" t="s">
        <v>85</v>
      </c>
      <c r="D6" s="366"/>
      <c r="E6" s="11"/>
      <c r="F6" s="11"/>
      <c r="G6" s="11"/>
      <c r="H6" s="11"/>
      <c r="I6" s="11"/>
      <c r="J6" s="11"/>
      <c r="K6" s="11"/>
      <c r="L6" s="11"/>
      <c r="M6" s="11"/>
      <c r="N6" s="11"/>
      <c r="O6" s="11"/>
      <c r="P6" s="11"/>
      <c r="Q6" s="11"/>
      <c r="R6" s="11"/>
      <c r="S6" s="11"/>
    </row>
    <row r="7" spans="1:19" ht="13" x14ac:dyDescent="0.3">
      <c r="B7" s="68" t="s">
        <v>86</v>
      </c>
      <c r="C7" s="667" t="s">
        <v>87</v>
      </c>
      <c r="D7" s="668"/>
      <c r="E7" s="11"/>
      <c r="F7" s="11"/>
      <c r="G7" s="11"/>
      <c r="H7" s="11"/>
      <c r="I7" s="11"/>
      <c r="J7" s="11"/>
      <c r="K7" s="11"/>
      <c r="L7" s="11"/>
      <c r="M7" s="11"/>
      <c r="N7" s="11"/>
      <c r="O7" s="11"/>
      <c r="P7" s="11"/>
      <c r="Q7" s="11"/>
      <c r="R7" s="11"/>
      <c r="S7" s="11"/>
    </row>
    <row r="8" spans="1:19" ht="13" x14ac:dyDescent="0.3">
      <c r="B8" s="69" t="s">
        <v>88</v>
      </c>
      <c r="C8" s="669" t="s">
        <v>89</v>
      </c>
      <c r="D8" s="670"/>
      <c r="E8" s="11"/>
      <c r="F8" s="11"/>
      <c r="G8" s="11"/>
      <c r="H8" s="11"/>
      <c r="I8" s="11"/>
      <c r="J8" s="11"/>
      <c r="K8" s="11"/>
      <c r="L8" s="11"/>
      <c r="M8" s="11"/>
      <c r="N8" s="11"/>
      <c r="O8" s="11"/>
      <c r="P8" s="11"/>
      <c r="Q8" s="11"/>
      <c r="R8" s="11"/>
      <c r="S8" s="11"/>
    </row>
    <row r="9" spans="1:19" x14ac:dyDescent="0.25">
      <c r="E9" s="11"/>
      <c r="F9" s="11"/>
      <c r="G9" s="11"/>
      <c r="H9" s="11"/>
      <c r="I9" s="11"/>
      <c r="J9" s="11"/>
      <c r="K9" s="11"/>
      <c r="L9" s="11"/>
      <c r="M9" s="11"/>
      <c r="N9" s="11"/>
      <c r="O9" s="11"/>
      <c r="P9" s="11"/>
      <c r="Q9" s="11"/>
      <c r="R9" s="11"/>
      <c r="S9" s="11"/>
    </row>
    <row r="10" spans="1:19" s="64" customFormat="1" ht="13" x14ac:dyDescent="0.3">
      <c r="A10" s="11"/>
      <c r="B10" s="75" t="s">
        <v>90</v>
      </c>
      <c r="C10" s="637">
        <f>'III. INPUT-Baseline'!C26</f>
        <v>0</v>
      </c>
      <c r="D10" s="39"/>
      <c r="E10" s="11"/>
      <c r="F10" s="11"/>
      <c r="G10" s="11"/>
      <c r="H10" s="11"/>
      <c r="I10" s="11"/>
      <c r="J10" s="11"/>
      <c r="K10" s="11"/>
      <c r="L10" s="11"/>
      <c r="M10" s="11"/>
      <c r="N10" s="11"/>
      <c r="O10" s="11"/>
      <c r="P10" s="11"/>
      <c r="Q10" s="11"/>
      <c r="R10" s="11"/>
      <c r="S10" s="11"/>
    </row>
    <row r="11" spans="1:19" s="64" customFormat="1" ht="13" x14ac:dyDescent="0.3">
      <c r="A11" s="11"/>
      <c r="B11" s="75" t="s">
        <v>91</v>
      </c>
      <c r="C11" s="545" t="str">
        <f>IF(AND(NOT(ISBLANK('III. INPUT-Baseline'!C27)),NOT(ISBLANK('III. INPUT-Baseline'!C28))),TEXT('III. INPUT-Baseline'!C27,"mm/dd/yyyy")&amp;" - "&amp;TEXT('III. INPUT-Baseline'!C28,"mm/dd/yyyy"),"-")</f>
        <v>-</v>
      </c>
      <c r="D11" s="39"/>
      <c r="E11" s="11"/>
      <c r="F11" s="11"/>
      <c r="G11" s="11"/>
      <c r="H11" s="11"/>
      <c r="I11" s="11"/>
      <c r="J11" s="11"/>
      <c r="K11" s="11"/>
      <c r="L11" s="11"/>
      <c r="M11" s="11"/>
      <c r="N11" s="11"/>
      <c r="O11" s="11"/>
      <c r="P11" s="11"/>
      <c r="Q11" s="11"/>
      <c r="R11" s="11"/>
      <c r="S11" s="11"/>
    </row>
    <row r="12" spans="1:19" x14ac:dyDescent="0.25">
      <c r="E12" s="11"/>
      <c r="F12" s="11"/>
      <c r="G12" s="11"/>
      <c r="H12" s="11"/>
      <c r="I12" s="11"/>
      <c r="J12" s="11"/>
      <c r="K12" s="11"/>
      <c r="L12" s="11"/>
      <c r="M12" s="11"/>
      <c r="N12" s="11"/>
      <c r="O12" s="11"/>
      <c r="P12" s="11"/>
      <c r="Q12" s="11"/>
      <c r="R12" s="11"/>
      <c r="S12" s="11"/>
    </row>
    <row r="13" spans="1:19" ht="15.5" x14ac:dyDescent="0.35">
      <c r="B13" s="65" t="s">
        <v>92</v>
      </c>
      <c r="E13" s="11"/>
      <c r="F13" s="11"/>
      <c r="G13" s="11"/>
      <c r="H13" s="11"/>
      <c r="I13" s="11"/>
      <c r="J13" s="11"/>
      <c r="K13" s="11"/>
      <c r="L13" s="11"/>
      <c r="M13" s="11"/>
      <c r="N13" s="11"/>
      <c r="O13" s="11"/>
      <c r="P13" s="11"/>
      <c r="Q13" s="11"/>
      <c r="R13" s="11"/>
      <c r="S13" s="11"/>
    </row>
    <row r="14" spans="1:19" x14ac:dyDescent="0.25">
      <c r="E14" s="11"/>
      <c r="F14" s="11"/>
      <c r="G14" s="11"/>
      <c r="H14" s="11"/>
      <c r="I14" s="11"/>
      <c r="J14" s="11"/>
      <c r="K14" s="11"/>
      <c r="L14" s="11"/>
      <c r="M14" s="11"/>
      <c r="N14" s="11"/>
      <c r="O14" s="11"/>
      <c r="P14" s="11"/>
      <c r="Q14" s="11"/>
      <c r="R14" s="11"/>
      <c r="S14" s="11"/>
    </row>
    <row r="15" spans="1:19" ht="13" x14ac:dyDescent="0.3">
      <c r="B15" s="61" t="s">
        <v>93</v>
      </c>
      <c r="E15" s="11"/>
      <c r="F15" s="11"/>
      <c r="G15" s="11"/>
      <c r="H15" s="11"/>
      <c r="I15" s="11"/>
      <c r="J15" s="11"/>
      <c r="K15" s="11"/>
      <c r="L15" s="11"/>
      <c r="M15" s="11"/>
      <c r="N15" s="11"/>
      <c r="O15" s="11"/>
      <c r="P15" s="11"/>
      <c r="Q15" s="11"/>
      <c r="R15" s="11"/>
      <c r="S15" s="11"/>
    </row>
    <row r="16" spans="1:19" s="3" customFormat="1" ht="15" x14ac:dyDescent="0.4">
      <c r="B16" s="591" t="s">
        <v>94</v>
      </c>
      <c r="C16" s="591" t="s">
        <v>95</v>
      </c>
      <c r="D16" s="591" t="s">
        <v>96</v>
      </c>
    </row>
    <row r="17" spans="2:19" s="3" customFormat="1" ht="13" x14ac:dyDescent="0.3">
      <c r="B17" s="638">
        <f>'VII. Baseline CH4'!B16</f>
        <v>0</v>
      </c>
      <c r="C17" s="638">
        <f>'VII. Baseline CH4'!G16</f>
        <v>0</v>
      </c>
      <c r="D17" s="639">
        <f>'VII. Baseline CH4'!H16</f>
        <v>0</v>
      </c>
    </row>
    <row r="18" spans="2:19" s="3" customFormat="1" ht="13" x14ac:dyDescent="0.3">
      <c r="B18" s="454">
        <f>'VII. Baseline CH4'!B17</f>
        <v>0</v>
      </c>
      <c r="C18" s="454">
        <f>'VII. Baseline CH4'!G17</f>
        <v>0</v>
      </c>
      <c r="D18" s="640">
        <f>'VII. Baseline CH4'!H17</f>
        <v>0</v>
      </c>
    </row>
    <row r="19" spans="2:19" s="3" customFormat="1" ht="13" x14ac:dyDescent="0.3">
      <c r="B19" s="454">
        <f>'VII. Baseline CH4'!B18</f>
        <v>0</v>
      </c>
      <c r="C19" s="454">
        <f>'VII. Baseline CH4'!G18</f>
        <v>0</v>
      </c>
      <c r="D19" s="640">
        <f>'VII. Baseline CH4'!H18</f>
        <v>0</v>
      </c>
    </row>
    <row r="20" spans="2:19" s="3" customFormat="1" ht="13" x14ac:dyDescent="0.3">
      <c r="B20" s="454">
        <f>'VII. Baseline CH4'!B19</f>
        <v>0</v>
      </c>
      <c r="C20" s="454">
        <f>'VII. Baseline CH4'!G19</f>
        <v>0</v>
      </c>
      <c r="D20" s="640">
        <f>'VII. Baseline CH4'!H19</f>
        <v>0</v>
      </c>
    </row>
    <row r="21" spans="2:19" s="3" customFormat="1" ht="13" x14ac:dyDescent="0.3">
      <c r="B21" s="454">
        <f>'VII. Baseline CH4'!B20</f>
        <v>0</v>
      </c>
      <c r="C21" s="454">
        <f>'VII. Baseline CH4'!G20</f>
        <v>0</v>
      </c>
      <c r="D21" s="640">
        <f>'VII. Baseline CH4'!H20</f>
        <v>0</v>
      </c>
    </row>
    <row r="22" spans="2:19" s="3" customFormat="1" ht="13" x14ac:dyDescent="0.3">
      <c r="B22" s="454">
        <f>'VII. Baseline CH4'!B21</f>
        <v>0</v>
      </c>
      <c r="C22" s="454">
        <f>'VII. Baseline CH4'!G21</f>
        <v>0</v>
      </c>
      <c r="D22" s="640">
        <f>'VII. Baseline CH4'!H21</f>
        <v>0</v>
      </c>
    </row>
    <row r="23" spans="2:19" s="3" customFormat="1" ht="13" x14ac:dyDescent="0.3">
      <c r="B23" s="454">
        <f>'VII. Baseline CH4'!B22</f>
        <v>0</v>
      </c>
      <c r="C23" s="454">
        <f>'VII. Baseline CH4'!G22</f>
        <v>0</v>
      </c>
      <c r="D23" s="640">
        <f>'VII. Baseline CH4'!H22</f>
        <v>0</v>
      </c>
    </row>
    <row r="24" spans="2:19" s="3" customFormat="1" ht="13" x14ac:dyDescent="0.3">
      <c r="B24" s="454">
        <f>'VII. Baseline CH4'!B23</f>
        <v>0</v>
      </c>
      <c r="C24" s="454">
        <f>'VII. Baseline CH4'!G23</f>
        <v>0</v>
      </c>
      <c r="D24" s="640">
        <f>'VII. Baseline CH4'!H23</f>
        <v>0</v>
      </c>
    </row>
    <row r="25" spans="2:19" s="3" customFormat="1" ht="13" x14ac:dyDescent="0.3">
      <c r="B25" s="454">
        <f>'VII. Baseline CH4'!B24</f>
        <v>0</v>
      </c>
      <c r="C25" s="454">
        <f>'VII. Baseline CH4'!G24</f>
        <v>0</v>
      </c>
      <c r="D25" s="640">
        <f>'VII. Baseline CH4'!H24</f>
        <v>0</v>
      </c>
    </row>
    <row r="26" spans="2:19" ht="13" x14ac:dyDescent="0.3">
      <c r="B26" s="641">
        <f>'VII. Baseline CH4'!B25</f>
        <v>0</v>
      </c>
      <c r="C26" s="641">
        <f>'VII. Baseline CH4'!G25</f>
        <v>0</v>
      </c>
      <c r="D26" s="642">
        <f>'VII. Baseline CH4'!H25</f>
        <v>0</v>
      </c>
      <c r="E26" s="11"/>
      <c r="F26" s="11"/>
      <c r="G26" s="11"/>
      <c r="H26" s="11"/>
      <c r="I26" s="11"/>
      <c r="J26" s="11"/>
      <c r="K26" s="11"/>
      <c r="L26" s="11"/>
      <c r="M26" s="11"/>
      <c r="N26" s="11"/>
      <c r="O26" s="11"/>
      <c r="P26" s="11"/>
      <c r="Q26" s="11"/>
      <c r="R26" s="11"/>
      <c r="S26" s="11"/>
    </row>
    <row r="27" spans="2:19" x14ac:dyDescent="0.25">
      <c r="E27" s="11"/>
      <c r="F27" s="11"/>
      <c r="G27" s="11"/>
      <c r="H27" s="11"/>
      <c r="I27" s="11"/>
      <c r="J27" s="11"/>
      <c r="K27" s="11"/>
      <c r="L27" s="11"/>
      <c r="M27" s="11"/>
      <c r="N27" s="11"/>
      <c r="O27" s="11"/>
      <c r="P27" s="11"/>
      <c r="Q27" s="11"/>
      <c r="R27" s="11"/>
      <c r="S27" s="11"/>
    </row>
    <row r="28" spans="2:19" ht="13" x14ac:dyDescent="0.3">
      <c r="B28" s="61" t="s">
        <v>97</v>
      </c>
      <c r="E28" s="11"/>
      <c r="F28" s="11"/>
      <c r="G28" s="11"/>
      <c r="H28" s="11"/>
      <c r="I28" s="11"/>
      <c r="J28" s="11"/>
      <c r="K28" s="11"/>
      <c r="L28" s="11"/>
      <c r="M28" s="11"/>
      <c r="N28" s="11"/>
      <c r="O28" s="11"/>
      <c r="P28" s="11"/>
      <c r="Q28" s="11"/>
      <c r="R28" s="11"/>
      <c r="S28" s="11"/>
    </row>
    <row r="29" spans="2:19" s="3" customFormat="1" ht="15" x14ac:dyDescent="0.4">
      <c r="B29" s="591" t="s">
        <v>98</v>
      </c>
      <c r="C29" s="591" t="s">
        <v>99</v>
      </c>
      <c r="D29" s="591" t="s">
        <v>100</v>
      </c>
    </row>
    <row r="30" spans="2:19" s="3" customFormat="1" ht="13" x14ac:dyDescent="0.3">
      <c r="B30" s="638" t="str">
        <f>'VII. Baseline CH4'!B30</f>
        <v>Uncovered anaerobic lagoon</v>
      </c>
      <c r="C30" s="638">
        <f>'VII. Baseline CH4'!C30</f>
        <v>0</v>
      </c>
      <c r="D30" s="639">
        <f>'VII. Baseline CH4'!D30</f>
        <v>0</v>
      </c>
    </row>
    <row r="31" spans="2:19" s="3" customFormat="1" ht="13" x14ac:dyDescent="0.3">
      <c r="B31" s="454">
        <f>'VII. Baseline CH4'!B31</f>
        <v>0</v>
      </c>
      <c r="C31" s="454">
        <f>'VII. Baseline CH4'!C31</f>
        <v>0</v>
      </c>
      <c r="D31" s="640">
        <f>'VII. Baseline CH4'!D31</f>
        <v>0</v>
      </c>
    </row>
    <row r="32" spans="2:19" s="3" customFormat="1" ht="13" x14ac:dyDescent="0.3">
      <c r="B32" s="454">
        <f>'VII. Baseline CH4'!B32</f>
        <v>0</v>
      </c>
      <c r="C32" s="454">
        <f>'VII. Baseline CH4'!C32</f>
        <v>0</v>
      </c>
      <c r="D32" s="640">
        <f>'VII. Baseline CH4'!D32</f>
        <v>0</v>
      </c>
    </row>
    <row r="33" spans="2:19" s="3" customFormat="1" ht="13" x14ac:dyDescent="0.3">
      <c r="B33" s="454">
        <f>'VII. Baseline CH4'!B33</f>
        <v>0</v>
      </c>
      <c r="C33" s="454">
        <f>'VII. Baseline CH4'!C33</f>
        <v>0</v>
      </c>
      <c r="D33" s="640">
        <f>'VII. Baseline CH4'!D33</f>
        <v>0</v>
      </c>
    </row>
    <row r="34" spans="2:19" s="3" customFormat="1" ht="13" x14ac:dyDescent="0.3">
      <c r="B34" s="454">
        <f>'VII. Baseline CH4'!B34</f>
        <v>0</v>
      </c>
      <c r="C34" s="454">
        <f>'VII. Baseline CH4'!C34</f>
        <v>0</v>
      </c>
      <c r="D34" s="640">
        <f>'VII. Baseline CH4'!D34</f>
        <v>0</v>
      </c>
    </row>
    <row r="35" spans="2:19" s="3" customFormat="1" ht="13" x14ac:dyDescent="0.3">
      <c r="B35" s="454">
        <f>'VII. Baseline CH4'!B35</f>
        <v>0</v>
      </c>
      <c r="C35" s="454">
        <f>'VII. Baseline CH4'!C35</f>
        <v>0</v>
      </c>
      <c r="D35" s="640">
        <f>'VII. Baseline CH4'!D35</f>
        <v>0</v>
      </c>
    </row>
    <row r="36" spans="2:19" s="3" customFormat="1" ht="13" x14ac:dyDescent="0.3">
      <c r="B36" s="454">
        <f>'VII. Baseline CH4'!B36</f>
        <v>0</v>
      </c>
      <c r="C36" s="454">
        <f>'VII. Baseline CH4'!C36</f>
        <v>0</v>
      </c>
      <c r="D36" s="640">
        <f>'VII. Baseline CH4'!D36</f>
        <v>0</v>
      </c>
    </row>
    <row r="37" spans="2:19" s="3" customFormat="1" ht="13" x14ac:dyDescent="0.3">
      <c r="B37" s="454">
        <f>'VII. Baseline CH4'!B37</f>
        <v>0</v>
      </c>
      <c r="C37" s="454">
        <f>'VII. Baseline CH4'!C37</f>
        <v>0</v>
      </c>
      <c r="D37" s="640">
        <f>'VII. Baseline CH4'!D37</f>
        <v>0</v>
      </c>
    </row>
    <row r="38" spans="2:19" s="3" customFormat="1" ht="13" x14ac:dyDescent="0.3">
      <c r="B38" s="454">
        <f>'VII. Baseline CH4'!B38</f>
        <v>0</v>
      </c>
      <c r="C38" s="454">
        <f>'VII. Baseline CH4'!C38</f>
        <v>0</v>
      </c>
      <c r="D38" s="640">
        <f>'VII. Baseline CH4'!D38</f>
        <v>0</v>
      </c>
    </row>
    <row r="39" spans="2:19" s="3" customFormat="1" ht="13" x14ac:dyDescent="0.3">
      <c r="B39" s="454">
        <f>'VII. Baseline CH4'!B39</f>
        <v>0</v>
      </c>
      <c r="C39" s="454">
        <f>'VII. Baseline CH4'!C39</f>
        <v>0</v>
      </c>
      <c r="D39" s="640">
        <f>'VII. Baseline CH4'!D39</f>
        <v>0</v>
      </c>
    </row>
    <row r="40" spans="2:19" s="3" customFormat="1" ht="13" x14ac:dyDescent="0.3">
      <c r="B40" s="454">
        <f>'VII. Baseline CH4'!B40</f>
        <v>0</v>
      </c>
      <c r="C40" s="454">
        <f>'VII. Baseline CH4'!C40</f>
        <v>0</v>
      </c>
      <c r="D40" s="640">
        <f>'VII. Baseline CH4'!D40</f>
        <v>0</v>
      </c>
    </row>
    <row r="41" spans="2:19" s="3" customFormat="1" ht="13" x14ac:dyDescent="0.3">
      <c r="B41" s="454">
        <f>'VII. Baseline CH4'!B41</f>
        <v>0</v>
      </c>
      <c r="C41" s="454">
        <f>'VII. Baseline CH4'!C41</f>
        <v>0</v>
      </c>
      <c r="D41" s="640">
        <f>'VII. Baseline CH4'!D41</f>
        <v>0</v>
      </c>
    </row>
    <row r="42" spans="2:19" ht="13" x14ac:dyDescent="0.3">
      <c r="B42" s="641">
        <f>'VII. Baseline CH4'!B42</f>
        <v>0</v>
      </c>
      <c r="C42" s="641">
        <f>'VII. Baseline CH4'!C42</f>
        <v>0</v>
      </c>
      <c r="D42" s="642">
        <f>'VII. Baseline CH4'!D42</f>
        <v>0</v>
      </c>
      <c r="E42" s="11"/>
      <c r="F42" s="11"/>
      <c r="G42" s="11"/>
      <c r="H42" s="11"/>
      <c r="I42" s="11"/>
      <c r="J42" s="11"/>
      <c r="K42" s="11"/>
      <c r="L42" s="11"/>
      <c r="M42" s="11"/>
      <c r="N42" s="11"/>
      <c r="O42" s="11"/>
      <c r="P42" s="11"/>
      <c r="Q42" s="11"/>
      <c r="R42" s="11"/>
      <c r="S42" s="11"/>
    </row>
    <row r="43" spans="2:19" x14ac:dyDescent="0.25">
      <c r="E43" s="11"/>
      <c r="F43" s="11"/>
      <c r="G43" s="11"/>
      <c r="H43" s="11"/>
      <c r="I43" s="11"/>
      <c r="J43" s="11"/>
      <c r="K43" s="11"/>
      <c r="L43" s="11"/>
      <c r="M43" s="11"/>
      <c r="N43" s="11"/>
      <c r="O43" s="11"/>
      <c r="P43" s="11"/>
      <c r="Q43" s="11"/>
      <c r="R43" s="11"/>
      <c r="S43" s="11"/>
    </row>
    <row r="44" spans="2:19" s="3" customFormat="1" ht="13" x14ac:dyDescent="0.3">
      <c r="B44" s="70" t="s">
        <v>101</v>
      </c>
      <c r="C44" s="39"/>
      <c r="D44" s="39"/>
      <c r="E44" s="72"/>
    </row>
    <row r="45" spans="2:19" s="3" customFormat="1" ht="16" x14ac:dyDescent="0.4">
      <c r="B45" s="73" t="s">
        <v>102</v>
      </c>
      <c r="C45" s="447">
        <f>'VII. Baseline CH4'!C46</f>
        <v>0</v>
      </c>
      <c r="D45" s="74" t="s">
        <v>103</v>
      </c>
    </row>
    <row r="46" spans="2:19" s="3" customFormat="1" ht="16" x14ac:dyDescent="0.4">
      <c r="B46" s="73" t="s">
        <v>104</v>
      </c>
      <c r="C46" s="448">
        <f>'VII. Baseline CH4'!C47</f>
        <v>0</v>
      </c>
      <c r="D46" s="61" t="s">
        <v>105</v>
      </c>
    </row>
    <row r="47" spans="2:19" ht="13" x14ac:dyDescent="0.3">
      <c r="B47" s="70"/>
      <c r="C47" s="449"/>
      <c r="D47" s="61"/>
      <c r="E47" s="3"/>
      <c r="F47" s="11"/>
      <c r="G47" s="11"/>
      <c r="H47" s="11"/>
      <c r="I47" s="11"/>
      <c r="J47" s="11"/>
      <c r="K47" s="11"/>
      <c r="L47" s="11"/>
      <c r="M47" s="11"/>
      <c r="N47" s="11"/>
      <c r="O47" s="11"/>
      <c r="P47" s="11"/>
      <c r="Q47" s="11"/>
      <c r="R47" s="11"/>
      <c r="S47" s="11"/>
    </row>
    <row r="48" spans="2:19" s="3" customFormat="1" ht="15" x14ac:dyDescent="0.4">
      <c r="B48" s="61" t="s">
        <v>106</v>
      </c>
      <c r="C48" s="450"/>
      <c r="D48" s="39"/>
    </row>
    <row r="49" spans="1:19" ht="16" x14ac:dyDescent="0.4">
      <c r="B49" s="70"/>
      <c r="C49" s="448">
        <f>'XIII. CO2'!F45</f>
        <v>0</v>
      </c>
      <c r="D49" s="61" t="s">
        <v>107</v>
      </c>
      <c r="E49" s="11"/>
      <c r="F49" s="11"/>
      <c r="G49" s="11"/>
      <c r="H49" s="11"/>
      <c r="I49" s="11"/>
      <c r="J49" s="11"/>
      <c r="K49" s="11"/>
      <c r="L49" s="11"/>
      <c r="M49" s="11"/>
      <c r="N49" s="11"/>
      <c r="O49" s="11"/>
      <c r="P49" s="11"/>
      <c r="Q49" s="11"/>
      <c r="R49" s="11"/>
      <c r="S49" s="11"/>
    </row>
    <row r="50" spans="1:19" ht="15.5" x14ac:dyDescent="0.35">
      <c r="B50" s="65" t="s">
        <v>108</v>
      </c>
      <c r="C50" s="450"/>
      <c r="E50" s="11"/>
      <c r="F50" s="11"/>
      <c r="G50" s="11"/>
      <c r="H50" s="11"/>
      <c r="I50" s="11"/>
      <c r="J50" s="11"/>
      <c r="K50" s="11"/>
      <c r="L50" s="11"/>
      <c r="M50" s="11"/>
      <c r="N50" s="11"/>
      <c r="O50" s="11"/>
      <c r="P50" s="11"/>
      <c r="Q50" s="11"/>
      <c r="R50" s="11"/>
      <c r="S50" s="11"/>
    </row>
    <row r="51" spans="1:19" x14ac:dyDescent="0.25">
      <c r="C51" s="450"/>
      <c r="E51" s="11"/>
      <c r="F51" s="11"/>
      <c r="G51" s="11"/>
      <c r="H51" s="11"/>
      <c r="I51" s="11"/>
      <c r="J51" s="11"/>
      <c r="K51" s="11"/>
      <c r="L51" s="11"/>
      <c r="M51" s="11"/>
      <c r="N51" s="11"/>
      <c r="O51" s="11"/>
      <c r="P51" s="11"/>
      <c r="Q51" s="11"/>
      <c r="R51" s="11"/>
      <c r="S51" s="11"/>
    </row>
    <row r="52" spans="1:19" ht="13" x14ac:dyDescent="0.3">
      <c r="B52" s="61" t="s">
        <v>109</v>
      </c>
      <c r="C52" s="450"/>
      <c r="E52" s="11"/>
      <c r="F52" s="11"/>
      <c r="G52" s="11"/>
      <c r="H52" s="11"/>
      <c r="I52" s="11"/>
      <c r="J52" s="11"/>
      <c r="K52" s="11"/>
      <c r="L52" s="11"/>
      <c r="M52" s="11"/>
      <c r="N52" s="11"/>
      <c r="O52" s="11"/>
      <c r="P52" s="11"/>
      <c r="Q52" s="11"/>
      <c r="R52" s="11"/>
      <c r="S52" s="11"/>
    </row>
    <row r="53" spans="1:19" ht="16" x14ac:dyDescent="0.4">
      <c r="B53" s="75" t="s">
        <v>110</v>
      </c>
      <c r="C53" s="451">
        <f>'XII. Project CH4'!C16</f>
        <v>0</v>
      </c>
      <c r="D53" s="74" t="s">
        <v>103</v>
      </c>
      <c r="E53" s="11"/>
      <c r="F53" s="11"/>
      <c r="G53" s="11"/>
      <c r="H53" s="11"/>
      <c r="I53" s="11"/>
      <c r="J53" s="11"/>
      <c r="K53" s="11"/>
      <c r="L53" s="11"/>
      <c r="M53" s="11"/>
      <c r="N53" s="11"/>
      <c r="O53" s="11"/>
      <c r="P53" s="11"/>
      <c r="Q53" s="11"/>
      <c r="R53" s="11"/>
      <c r="S53" s="11"/>
    </row>
    <row r="54" spans="1:19" ht="16" x14ac:dyDescent="0.4">
      <c r="B54" s="76" t="s">
        <v>111</v>
      </c>
      <c r="C54" s="451">
        <f>'VIII. Project CH4 (BCS)'!K27</f>
        <v>0</v>
      </c>
      <c r="D54" s="61" t="s">
        <v>105</v>
      </c>
      <c r="E54" s="11"/>
      <c r="F54" s="11"/>
      <c r="G54" s="11"/>
      <c r="H54" s="11"/>
      <c r="I54" s="11"/>
      <c r="J54" s="11"/>
      <c r="K54" s="11"/>
      <c r="L54" s="11"/>
      <c r="M54" s="11"/>
      <c r="N54" s="11"/>
      <c r="O54" s="11"/>
      <c r="P54" s="11"/>
      <c r="Q54" s="11"/>
      <c r="R54" s="11"/>
      <c r="S54" s="11"/>
    </row>
    <row r="55" spans="1:19" ht="13" x14ac:dyDescent="0.25">
      <c r="B55" s="77"/>
      <c r="C55" s="450"/>
      <c r="E55" s="11"/>
      <c r="F55" s="11"/>
      <c r="G55" s="11"/>
      <c r="H55" s="11"/>
      <c r="I55" s="11"/>
      <c r="J55" s="11"/>
      <c r="K55" s="11"/>
      <c r="L55" s="11"/>
      <c r="M55" s="11"/>
      <c r="N55" s="11"/>
      <c r="O55" s="11"/>
      <c r="P55" s="11"/>
      <c r="Q55" s="11"/>
      <c r="R55" s="11"/>
      <c r="S55" s="11"/>
    </row>
    <row r="56" spans="1:19" ht="13" x14ac:dyDescent="0.25">
      <c r="B56" s="77" t="s">
        <v>112</v>
      </c>
      <c r="C56" s="450"/>
      <c r="E56" s="11"/>
      <c r="F56" s="11"/>
      <c r="G56" s="11"/>
      <c r="H56" s="11"/>
      <c r="I56" s="11"/>
      <c r="J56" s="11"/>
      <c r="K56" s="11"/>
      <c r="L56" s="11"/>
      <c r="M56" s="11"/>
      <c r="N56" s="11"/>
      <c r="O56" s="11"/>
      <c r="P56" s="11"/>
      <c r="Q56" s="11"/>
      <c r="R56" s="11"/>
      <c r="S56" s="11"/>
    </row>
    <row r="57" spans="1:19" ht="16" x14ac:dyDescent="0.4">
      <c r="B57" s="78" t="s">
        <v>113</v>
      </c>
      <c r="C57" s="448">
        <f>'IX. Venting'!H29</f>
        <v>0</v>
      </c>
      <c r="D57" s="74" t="s">
        <v>103</v>
      </c>
      <c r="E57" s="11"/>
      <c r="F57" s="11"/>
      <c r="G57" s="11"/>
      <c r="H57" s="11"/>
      <c r="I57" s="11"/>
      <c r="J57" s="11"/>
      <c r="K57" s="11"/>
      <c r="L57" s="11"/>
      <c r="M57" s="11"/>
      <c r="N57" s="11"/>
      <c r="O57" s="11"/>
      <c r="P57" s="11"/>
      <c r="Q57" s="11"/>
      <c r="R57" s="11"/>
      <c r="S57" s="11"/>
    </row>
    <row r="58" spans="1:19" ht="16" x14ac:dyDescent="0.4">
      <c r="B58" s="78" t="s">
        <v>114</v>
      </c>
      <c r="C58" s="448">
        <f>'IX. Venting'!I29</f>
        <v>0</v>
      </c>
      <c r="D58" s="61" t="s">
        <v>105</v>
      </c>
      <c r="E58" s="11"/>
      <c r="F58" s="11"/>
      <c r="G58" s="11"/>
      <c r="H58" s="11"/>
      <c r="I58" s="11"/>
      <c r="J58" s="11"/>
      <c r="K58" s="11"/>
      <c r="L58" s="11"/>
      <c r="M58" s="11"/>
      <c r="N58" s="11"/>
      <c r="O58" s="11"/>
      <c r="P58" s="11"/>
      <c r="Q58" s="11"/>
      <c r="R58" s="11"/>
      <c r="S58" s="11"/>
    </row>
    <row r="59" spans="1:19" ht="13" x14ac:dyDescent="0.25">
      <c r="B59" s="77"/>
      <c r="C59" s="450"/>
      <c r="E59" s="11"/>
      <c r="F59" s="11"/>
      <c r="G59" s="11"/>
      <c r="H59" s="11"/>
      <c r="I59" s="11"/>
      <c r="J59" s="11"/>
      <c r="K59" s="11"/>
      <c r="L59" s="11"/>
      <c r="M59" s="11"/>
      <c r="N59" s="11"/>
      <c r="O59" s="11"/>
      <c r="P59" s="11"/>
      <c r="Q59" s="11"/>
      <c r="R59" s="11"/>
      <c r="S59" s="11"/>
    </row>
    <row r="60" spans="1:19" ht="13" x14ac:dyDescent="0.3">
      <c r="B60" s="61" t="s">
        <v>115</v>
      </c>
      <c r="C60" s="450"/>
      <c r="E60" s="11"/>
      <c r="F60" s="11"/>
      <c r="G60" s="11"/>
      <c r="H60" s="11"/>
      <c r="I60" s="11"/>
      <c r="J60" s="11"/>
      <c r="K60" s="11"/>
      <c r="L60" s="11"/>
      <c r="M60" s="11"/>
      <c r="N60" s="11"/>
      <c r="O60" s="11"/>
      <c r="P60" s="11"/>
      <c r="Q60" s="11"/>
      <c r="R60" s="11"/>
      <c r="S60" s="11"/>
    </row>
    <row r="61" spans="1:19" ht="16" x14ac:dyDescent="0.4">
      <c r="B61" s="73" t="s">
        <v>116</v>
      </c>
      <c r="C61" s="448">
        <f>'XII. Project CH4'!C26</f>
        <v>0</v>
      </c>
      <c r="D61" s="74" t="s">
        <v>103</v>
      </c>
      <c r="E61" s="11"/>
      <c r="F61" s="11"/>
      <c r="G61" s="11"/>
      <c r="H61" s="11"/>
      <c r="I61" s="11"/>
      <c r="J61" s="11"/>
      <c r="K61" s="11"/>
      <c r="L61" s="11"/>
      <c r="M61" s="11"/>
      <c r="N61" s="11"/>
      <c r="O61" s="11"/>
      <c r="P61" s="11"/>
      <c r="Q61" s="11"/>
      <c r="R61" s="11"/>
      <c r="S61" s="11"/>
    </row>
    <row r="62" spans="1:19" ht="16" x14ac:dyDescent="0.4">
      <c r="B62" s="76" t="s">
        <v>117</v>
      </c>
      <c r="C62" s="448">
        <f>'X. Effluent Pond'!F15</f>
        <v>0</v>
      </c>
      <c r="D62" s="61" t="s">
        <v>105</v>
      </c>
      <c r="E62" s="11"/>
      <c r="F62" s="11"/>
      <c r="G62" s="11"/>
      <c r="H62" s="11"/>
      <c r="I62" s="11"/>
      <c r="J62" s="11"/>
      <c r="K62" s="11"/>
      <c r="L62" s="11"/>
      <c r="M62" s="11"/>
      <c r="N62" s="11"/>
      <c r="O62" s="11"/>
      <c r="P62" s="11"/>
      <c r="Q62" s="11"/>
      <c r="R62" s="11"/>
      <c r="S62" s="11"/>
    </row>
    <row r="63" spans="1:19" s="79" customFormat="1" ht="13" x14ac:dyDescent="0.25">
      <c r="A63" s="11"/>
      <c r="B63" s="77"/>
      <c r="C63" s="450"/>
      <c r="D63" s="39"/>
    </row>
    <row r="64" spans="1:19" ht="16.5" customHeight="1" x14ac:dyDescent="0.3">
      <c r="A64" s="79"/>
      <c r="B64" s="61" t="s">
        <v>118</v>
      </c>
      <c r="C64" s="452"/>
      <c r="D64" s="80"/>
      <c r="E64" s="11"/>
      <c r="F64" s="11"/>
      <c r="G64" s="11"/>
      <c r="H64" s="11"/>
      <c r="I64" s="11"/>
      <c r="J64" s="11"/>
      <c r="K64" s="11"/>
      <c r="L64" s="11"/>
      <c r="M64" s="11"/>
      <c r="N64" s="11"/>
      <c r="O64" s="11"/>
      <c r="P64" s="11"/>
      <c r="Q64" s="11"/>
      <c r="R64" s="11"/>
      <c r="S64" s="11"/>
    </row>
    <row r="65" spans="2:19" ht="16" x14ac:dyDescent="0.4">
      <c r="B65" s="73" t="s">
        <v>119</v>
      </c>
      <c r="C65" s="448">
        <f>'XII. Project CH4'!C31</f>
        <v>0</v>
      </c>
      <c r="D65" s="74" t="s">
        <v>103</v>
      </c>
      <c r="E65" s="11"/>
      <c r="F65" s="11"/>
      <c r="G65" s="11"/>
      <c r="H65" s="11"/>
      <c r="I65" s="11"/>
      <c r="J65" s="11"/>
      <c r="K65" s="11"/>
      <c r="L65" s="11"/>
      <c r="M65" s="11"/>
      <c r="N65" s="11"/>
      <c r="O65" s="11"/>
      <c r="P65" s="11"/>
      <c r="Q65" s="11"/>
      <c r="R65" s="11"/>
      <c r="S65" s="11"/>
    </row>
    <row r="66" spans="2:19" ht="16" x14ac:dyDescent="0.4">
      <c r="B66" s="76" t="s">
        <v>120</v>
      </c>
      <c r="C66" s="448">
        <f>'XI. Project CH4 (non-BCS)'!G228</f>
        <v>0</v>
      </c>
      <c r="D66" s="61" t="s">
        <v>105</v>
      </c>
      <c r="E66" s="11"/>
      <c r="F66" s="11"/>
      <c r="G66" s="11"/>
      <c r="H66" s="11"/>
      <c r="I66" s="11"/>
      <c r="J66" s="11"/>
      <c r="K66" s="11"/>
      <c r="L66" s="11"/>
      <c r="M66" s="11"/>
      <c r="N66" s="11"/>
      <c r="O66" s="11"/>
      <c r="P66" s="11"/>
      <c r="Q66" s="11"/>
      <c r="R66" s="11"/>
      <c r="S66" s="11"/>
    </row>
    <row r="67" spans="2:19" ht="13" x14ac:dyDescent="0.25">
      <c r="B67" s="77"/>
      <c r="C67" s="450"/>
      <c r="E67" s="11"/>
      <c r="F67" s="11"/>
      <c r="G67" s="11"/>
      <c r="H67" s="11"/>
      <c r="I67" s="11"/>
      <c r="J67" s="11"/>
      <c r="K67" s="11"/>
      <c r="L67" s="11"/>
      <c r="M67" s="11"/>
      <c r="N67" s="11"/>
      <c r="O67" s="11"/>
      <c r="P67" s="11"/>
      <c r="Q67" s="11"/>
      <c r="R67" s="11"/>
      <c r="S67" s="11"/>
    </row>
    <row r="68" spans="2:19" ht="13" x14ac:dyDescent="0.3">
      <c r="B68" s="70" t="s">
        <v>121</v>
      </c>
      <c r="C68" s="450"/>
      <c r="E68" s="11"/>
      <c r="F68" s="11"/>
      <c r="G68" s="11"/>
      <c r="H68" s="11"/>
      <c r="I68" s="11"/>
      <c r="J68" s="11"/>
      <c r="K68" s="11"/>
      <c r="L68" s="11"/>
      <c r="M68" s="11"/>
      <c r="N68" s="11"/>
      <c r="O68" s="11"/>
      <c r="P68" s="11"/>
      <c r="Q68" s="11"/>
      <c r="R68" s="11"/>
      <c r="S68" s="11"/>
    </row>
    <row r="69" spans="2:19" ht="16" x14ac:dyDescent="0.4">
      <c r="B69" s="73" t="s">
        <v>122</v>
      </c>
      <c r="C69" s="453">
        <f>'XII. Project CH4'!C37</f>
        <v>0</v>
      </c>
      <c r="D69" s="74" t="s">
        <v>103</v>
      </c>
      <c r="E69" s="11"/>
      <c r="F69" s="11"/>
      <c r="G69" s="11"/>
      <c r="H69" s="11"/>
      <c r="I69" s="11"/>
      <c r="J69" s="11"/>
      <c r="K69" s="11"/>
      <c r="L69" s="11"/>
      <c r="M69" s="11"/>
      <c r="N69" s="11"/>
      <c r="O69" s="11"/>
      <c r="P69" s="11"/>
      <c r="Q69" s="11"/>
      <c r="R69" s="11"/>
      <c r="S69" s="11"/>
    </row>
    <row r="70" spans="2:19" ht="16" x14ac:dyDescent="0.4">
      <c r="B70" s="73" t="s">
        <v>123</v>
      </c>
      <c r="C70" s="451">
        <f>'XII. Project CH4'!C38</f>
        <v>0</v>
      </c>
      <c r="D70" s="61" t="s">
        <v>105</v>
      </c>
      <c r="E70" s="11"/>
      <c r="F70" s="11"/>
      <c r="G70" s="11"/>
      <c r="H70" s="11"/>
      <c r="I70" s="11"/>
      <c r="J70" s="11"/>
      <c r="K70" s="11"/>
      <c r="L70" s="11"/>
      <c r="M70" s="11"/>
      <c r="N70" s="11"/>
      <c r="O70" s="11"/>
      <c r="P70" s="11"/>
      <c r="Q70" s="11"/>
      <c r="R70" s="11"/>
      <c r="S70" s="11"/>
    </row>
    <row r="71" spans="2:19" ht="13" x14ac:dyDescent="0.3">
      <c r="B71" s="77"/>
      <c r="C71" s="450"/>
      <c r="E71" s="3"/>
      <c r="F71" s="11"/>
      <c r="G71" s="11"/>
      <c r="H71" s="11"/>
      <c r="I71" s="11"/>
      <c r="J71" s="11"/>
      <c r="K71" s="11"/>
      <c r="L71" s="11"/>
      <c r="M71" s="11"/>
      <c r="N71" s="11"/>
      <c r="O71" s="11"/>
      <c r="P71" s="11"/>
      <c r="Q71" s="11"/>
      <c r="R71" s="11"/>
      <c r="S71" s="11"/>
    </row>
    <row r="72" spans="2:19" ht="15" x14ac:dyDescent="0.4">
      <c r="B72" s="61" t="s">
        <v>124</v>
      </c>
      <c r="C72" s="450"/>
      <c r="E72" s="11"/>
      <c r="F72" s="81"/>
      <c r="G72" s="11"/>
      <c r="H72" s="11"/>
      <c r="I72" s="11"/>
      <c r="J72" s="11"/>
      <c r="K72" s="11"/>
      <c r="L72" s="11"/>
      <c r="M72" s="11"/>
      <c r="N72" s="11"/>
      <c r="O72" s="11"/>
      <c r="P72" s="11"/>
      <c r="Q72" s="11"/>
      <c r="R72" s="11"/>
      <c r="S72" s="11"/>
    </row>
    <row r="73" spans="2:19" ht="13" x14ac:dyDescent="0.3">
      <c r="C73" s="448">
        <f>'XIII. CO2'!F88</f>
        <v>0</v>
      </c>
      <c r="E73" s="11"/>
      <c r="F73" s="11"/>
      <c r="G73" s="11"/>
      <c r="H73" s="11"/>
      <c r="I73" s="11"/>
      <c r="J73" s="11"/>
      <c r="K73" s="11"/>
      <c r="L73" s="11"/>
      <c r="M73" s="11"/>
      <c r="N73" s="11"/>
      <c r="O73" s="11"/>
      <c r="P73" s="11"/>
      <c r="Q73" s="11"/>
      <c r="R73" s="11"/>
      <c r="S73" s="11"/>
    </row>
    <row r="74" spans="2:19" ht="13" x14ac:dyDescent="0.3">
      <c r="C74" s="61"/>
      <c r="E74" s="11"/>
      <c r="F74" s="11"/>
      <c r="G74" s="11"/>
      <c r="H74" s="11"/>
      <c r="I74" s="11"/>
      <c r="J74" s="11"/>
      <c r="K74" s="11"/>
      <c r="L74" s="11"/>
      <c r="M74" s="11"/>
      <c r="N74" s="11"/>
      <c r="O74" s="11"/>
      <c r="P74" s="11"/>
      <c r="Q74" s="11"/>
      <c r="R74" s="11"/>
      <c r="S74" s="11"/>
    </row>
    <row r="75" spans="2:19" ht="13" x14ac:dyDescent="0.3">
      <c r="C75" s="61"/>
      <c r="E75" s="11"/>
      <c r="F75" s="11"/>
      <c r="G75" s="11"/>
      <c r="H75" s="11"/>
      <c r="I75" s="11"/>
      <c r="J75" s="11"/>
      <c r="K75" s="11"/>
      <c r="L75" s="11"/>
      <c r="M75" s="11"/>
      <c r="N75" s="11"/>
      <c r="O75" s="11"/>
      <c r="P75" s="11"/>
      <c r="Q75" s="11"/>
      <c r="R75" s="11"/>
      <c r="S75" s="11"/>
    </row>
    <row r="76" spans="2:19" ht="15.5" x14ac:dyDescent="0.35">
      <c r="B76" s="83" t="s">
        <v>125</v>
      </c>
      <c r="C76" s="84"/>
      <c r="D76" s="84"/>
      <c r="E76" s="11"/>
      <c r="F76" s="11"/>
      <c r="G76" s="11"/>
      <c r="H76" s="11"/>
      <c r="I76" s="11"/>
      <c r="J76" s="11"/>
      <c r="K76" s="11"/>
      <c r="L76" s="11"/>
      <c r="M76" s="11"/>
      <c r="N76" s="11"/>
      <c r="O76" s="11"/>
      <c r="P76" s="11"/>
      <c r="Q76" s="11"/>
      <c r="R76" s="11"/>
      <c r="S76" s="11"/>
    </row>
    <row r="77" spans="2:19" ht="13" x14ac:dyDescent="0.3">
      <c r="B77" s="61"/>
      <c r="C77" s="11"/>
      <c r="D77" s="11"/>
      <c r="E77" s="11"/>
      <c r="F77" s="11"/>
      <c r="G77" s="11"/>
      <c r="H77" s="11"/>
      <c r="I77" s="11"/>
      <c r="J77" s="11"/>
      <c r="K77" s="11"/>
      <c r="L77" s="11"/>
      <c r="M77" s="11"/>
      <c r="N77" s="11"/>
      <c r="O77" s="11"/>
      <c r="P77" s="11"/>
      <c r="Q77" s="11"/>
      <c r="R77" s="11"/>
      <c r="S77" s="11"/>
    </row>
    <row r="78" spans="2:19" ht="16" x14ac:dyDescent="0.4">
      <c r="B78" s="73" t="s">
        <v>126</v>
      </c>
      <c r="C78" s="644">
        <f>C45-C69</f>
        <v>0</v>
      </c>
      <c r="D78" s="74" t="s">
        <v>127</v>
      </c>
      <c r="E78" s="11"/>
      <c r="F78" s="11"/>
      <c r="G78" s="11"/>
      <c r="H78" s="11"/>
      <c r="I78" s="11"/>
      <c r="J78" s="11"/>
      <c r="K78" s="11"/>
      <c r="L78" s="11"/>
      <c r="M78" s="11"/>
      <c r="N78" s="11"/>
      <c r="O78" s="11"/>
      <c r="P78" s="11"/>
      <c r="Q78" s="11"/>
      <c r="R78" s="11"/>
      <c r="S78" s="11"/>
    </row>
    <row r="79" spans="2:19" ht="16" x14ac:dyDescent="0.4">
      <c r="B79" s="75" t="s">
        <v>128</v>
      </c>
      <c r="C79" s="645">
        <f>'VIII. Project CH4 (BCS)'!L27-'VIII. Project CH4 (BCS)'!N27</f>
        <v>0</v>
      </c>
      <c r="D79" s="74" t="s">
        <v>127</v>
      </c>
      <c r="E79" s="11"/>
      <c r="F79" s="11"/>
      <c r="G79" s="11"/>
      <c r="H79" s="11"/>
      <c r="I79" s="11"/>
      <c r="J79" s="11"/>
      <c r="K79" s="11"/>
      <c r="L79" s="11"/>
      <c r="M79" s="11"/>
      <c r="N79" s="11"/>
      <c r="O79" s="11"/>
      <c r="P79" s="11"/>
      <c r="Q79" s="11"/>
      <c r="R79" s="11"/>
      <c r="S79" s="11"/>
    </row>
    <row r="80" spans="2:19" ht="48.75" customHeight="1" x14ac:dyDescent="0.3">
      <c r="B80" s="665" t="s">
        <v>129</v>
      </c>
      <c r="C80" s="666"/>
      <c r="D80" s="74"/>
      <c r="E80" s="11"/>
      <c r="F80" s="11"/>
      <c r="G80" s="11"/>
      <c r="H80" s="11"/>
      <c r="I80" s="11"/>
      <c r="J80" s="11"/>
      <c r="K80" s="11"/>
      <c r="L80" s="11"/>
      <c r="M80" s="11"/>
      <c r="N80" s="11"/>
      <c r="O80" s="11"/>
      <c r="P80" s="11"/>
      <c r="Q80" s="11"/>
      <c r="R80" s="11"/>
      <c r="S80" s="11"/>
    </row>
    <row r="81" spans="2:19" ht="16" x14ac:dyDescent="0.4">
      <c r="B81" s="75" t="s">
        <v>130</v>
      </c>
      <c r="C81" s="446">
        <f>MIN(C78:C79)</f>
        <v>0</v>
      </c>
      <c r="D81" s="74" t="s">
        <v>127</v>
      </c>
      <c r="E81" s="11"/>
      <c r="F81" s="11"/>
      <c r="G81" s="11"/>
      <c r="H81" s="11"/>
      <c r="I81" s="11"/>
      <c r="J81" s="11"/>
      <c r="K81" s="11"/>
      <c r="L81" s="11"/>
      <c r="M81" s="11"/>
      <c r="N81" s="11"/>
      <c r="O81" s="11"/>
      <c r="P81" s="11"/>
      <c r="Q81" s="11"/>
      <c r="R81" s="11"/>
      <c r="S81" s="11"/>
    </row>
    <row r="82" spans="2:19" ht="16" x14ac:dyDescent="0.4">
      <c r="B82" s="75" t="s">
        <v>131</v>
      </c>
      <c r="C82" s="446">
        <f>C81*gwp_ch4</f>
        <v>0</v>
      </c>
      <c r="D82" s="70" t="s">
        <v>105</v>
      </c>
      <c r="E82" s="11"/>
      <c r="F82" s="11"/>
      <c r="G82" s="11"/>
      <c r="H82" s="11"/>
      <c r="I82" s="11"/>
      <c r="J82" s="11"/>
      <c r="K82" s="11"/>
      <c r="L82" s="11"/>
      <c r="M82" s="11"/>
      <c r="N82" s="11"/>
      <c r="O82" s="11"/>
      <c r="P82" s="11"/>
      <c r="Q82" s="11"/>
      <c r="R82" s="11"/>
      <c r="S82" s="11"/>
    </row>
    <row r="83" spans="2:19" ht="13" x14ac:dyDescent="0.3">
      <c r="B83" s="61"/>
      <c r="C83" s="82"/>
      <c r="D83" s="70"/>
      <c r="E83" s="11"/>
      <c r="F83" s="11"/>
      <c r="G83" s="11"/>
      <c r="H83" s="11"/>
      <c r="I83" s="11"/>
      <c r="J83" s="11"/>
      <c r="K83" s="11"/>
      <c r="L83" s="11"/>
      <c r="M83" s="11"/>
      <c r="N83" s="11"/>
      <c r="O83" s="11"/>
      <c r="P83" s="11"/>
      <c r="Q83" s="11"/>
      <c r="R83" s="11"/>
      <c r="S83" s="11"/>
    </row>
    <row r="84" spans="2:19" ht="13" x14ac:dyDescent="0.3">
      <c r="B84" s="61"/>
      <c r="C84" s="82"/>
      <c r="D84" s="70"/>
      <c r="E84" s="11"/>
      <c r="F84" s="11"/>
      <c r="G84" s="11"/>
      <c r="H84" s="11"/>
      <c r="I84" s="11"/>
      <c r="J84" s="11"/>
      <c r="K84" s="11"/>
      <c r="L84" s="11"/>
      <c r="M84" s="11"/>
      <c r="N84" s="11"/>
      <c r="O84" s="11"/>
      <c r="P84" s="11"/>
      <c r="Q84" s="11"/>
      <c r="R84" s="11"/>
      <c r="S84" s="11"/>
    </row>
    <row r="85" spans="2:19" x14ac:dyDescent="0.25">
      <c r="E85" s="11"/>
      <c r="F85" s="11"/>
      <c r="G85" s="11"/>
      <c r="H85" s="11"/>
      <c r="I85" s="11"/>
      <c r="J85" s="11"/>
      <c r="K85" s="11"/>
      <c r="L85" s="11"/>
      <c r="M85" s="11"/>
      <c r="N85" s="11"/>
      <c r="O85" s="11"/>
      <c r="P85" s="11"/>
      <c r="Q85" s="11"/>
      <c r="R85" s="11"/>
      <c r="S85" s="11"/>
    </row>
    <row r="86" spans="2:19" ht="22.5" customHeight="1" x14ac:dyDescent="0.25">
      <c r="B86" s="461" t="s">
        <v>132</v>
      </c>
      <c r="E86" s="11"/>
      <c r="F86" s="11"/>
      <c r="G86" s="11"/>
      <c r="H86" s="11"/>
      <c r="I86" s="11"/>
      <c r="J86" s="11"/>
      <c r="K86" s="11"/>
      <c r="L86" s="11"/>
      <c r="M86" s="11"/>
      <c r="N86" s="11"/>
      <c r="O86" s="11"/>
      <c r="P86" s="11"/>
      <c r="Q86" s="11"/>
      <c r="R86" s="11"/>
      <c r="S86" s="11"/>
    </row>
    <row r="87" spans="2:19" ht="13" x14ac:dyDescent="0.3">
      <c r="B87" s="61"/>
      <c r="E87" s="11"/>
      <c r="F87" s="11"/>
      <c r="G87" s="11"/>
      <c r="H87" s="11"/>
      <c r="I87" s="11"/>
      <c r="J87" s="11"/>
      <c r="K87" s="11"/>
      <c r="L87" s="11"/>
      <c r="M87" s="11"/>
      <c r="N87" s="11"/>
      <c r="O87" s="11"/>
      <c r="P87" s="11"/>
      <c r="Q87" s="11"/>
      <c r="R87" s="11"/>
      <c r="S87" s="11"/>
    </row>
    <row r="88" spans="2:19" ht="16" x14ac:dyDescent="0.4">
      <c r="B88" s="75" t="s">
        <v>133</v>
      </c>
      <c r="C88" s="643">
        <f>C82+IF((C49-C73)&gt;0, 0,(C49-C73))</f>
        <v>0</v>
      </c>
      <c r="D88" s="70" t="s">
        <v>105</v>
      </c>
      <c r="E88" s="11"/>
      <c r="F88" s="11"/>
      <c r="G88" s="11"/>
      <c r="H88" s="11"/>
      <c r="I88" s="11"/>
      <c r="J88" s="11"/>
      <c r="K88" s="11"/>
      <c r="L88" s="11"/>
      <c r="M88" s="11"/>
      <c r="N88" s="11"/>
      <c r="O88" s="11"/>
      <c r="P88" s="11"/>
      <c r="Q88" s="11"/>
      <c r="R88" s="11"/>
      <c r="S88" s="11"/>
    </row>
    <row r="89" spans="2:19" ht="13" x14ac:dyDescent="0.3">
      <c r="B89" s="533" t="str">
        <f>version</f>
        <v>COPtool Beta Version 2014k - September 2018</v>
      </c>
      <c r="E89" s="11"/>
      <c r="F89" s="11"/>
      <c r="G89" s="11"/>
      <c r="H89" s="11"/>
      <c r="I89" s="11"/>
      <c r="J89" s="11"/>
      <c r="K89" s="11"/>
      <c r="L89" s="11"/>
      <c r="M89" s="11"/>
      <c r="N89" s="11"/>
      <c r="O89" s="11"/>
      <c r="P89" s="11"/>
      <c r="Q89" s="11"/>
      <c r="R89" s="11"/>
      <c r="S89" s="11"/>
    </row>
    <row r="90" spans="2:19" x14ac:dyDescent="0.25">
      <c r="E90" s="11"/>
      <c r="F90" s="11"/>
      <c r="G90" s="11"/>
      <c r="H90" s="11"/>
      <c r="I90" s="11"/>
      <c r="J90" s="11"/>
      <c r="K90" s="11"/>
      <c r="L90" s="11"/>
      <c r="M90" s="11"/>
      <c r="N90" s="11"/>
      <c r="O90" s="11"/>
      <c r="P90" s="11"/>
      <c r="Q90" s="11"/>
      <c r="R90" s="11"/>
      <c r="S90" s="11"/>
    </row>
    <row r="91" spans="2:19" x14ac:dyDescent="0.25">
      <c r="E91" s="11"/>
      <c r="F91" s="11"/>
      <c r="G91" s="11"/>
      <c r="H91" s="11"/>
      <c r="I91" s="11"/>
      <c r="J91" s="11"/>
      <c r="K91" s="11"/>
      <c r="L91" s="11"/>
      <c r="M91" s="11"/>
      <c r="N91" s="11"/>
      <c r="O91" s="11"/>
      <c r="P91" s="11"/>
      <c r="Q91" s="11"/>
      <c r="R91" s="11"/>
      <c r="S91" s="11"/>
    </row>
    <row r="92" spans="2:19" x14ac:dyDescent="0.25">
      <c r="B92" s="656" t="s">
        <v>134</v>
      </c>
      <c r="C92" s="657"/>
      <c r="D92" s="658"/>
      <c r="E92" s="11"/>
      <c r="F92" s="11"/>
      <c r="G92" s="11"/>
      <c r="H92" s="11"/>
      <c r="I92" s="11"/>
      <c r="J92" s="11"/>
      <c r="K92" s="11"/>
      <c r="L92" s="11"/>
      <c r="M92" s="11"/>
      <c r="N92" s="11"/>
      <c r="O92" s="11"/>
      <c r="P92" s="11"/>
      <c r="Q92" s="11"/>
      <c r="R92" s="11"/>
      <c r="S92" s="11"/>
    </row>
    <row r="93" spans="2:19" x14ac:dyDescent="0.25">
      <c r="B93" s="659"/>
      <c r="C93" s="660"/>
      <c r="D93" s="661"/>
      <c r="E93" s="11"/>
      <c r="F93" s="11"/>
      <c r="G93" s="11"/>
      <c r="H93" s="11"/>
      <c r="I93" s="11"/>
      <c r="J93" s="11"/>
      <c r="K93" s="11"/>
      <c r="L93" s="11"/>
      <c r="M93" s="11"/>
      <c r="N93" s="11"/>
      <c r="O93" s="11"/>
      <c r="P93" s="11"/>
      <c r="Q93" s="11"/>
      <c r="R93" s="11"/>
      <c r="S93" s="11"/>
    </row>
    <row r="94" spans="2:19" x14ac:dyDescent="0.25">
      <c r="B94" s="659"/>
      <c r="C94" s="660"/>
      <c r="D94" s="661"/>
      <c r="E94" s="11"/>
      <c r="F94" s="11"/>
      <c r="G94" s="11"/>
      <c r="H94" s="11"/>
      <c r="I94" s="11"/>
      <c r="J94" s="11"/>
      <c r="K94" s="11"/>
      <c r="L94" s="11"/>
      <c r="M94" s="11"/>
      <c r="N94" s="11"/>
      <c r="O94" s="11"/>
      <c r="P94" s="11"/>
      <c r="Q94" s="11"/>
      <c r="R94" s="11"/>
      <c r="S94" s="11"/>
    </row>
    <row r="95" spans="2:19" x14ac:dyDescent="0.25">
      <c r="B95" s="659"/>
      <c r="C95" s="660"/>
      <c r="D95" s="661"/>
      <c r="E95" s="11"/>
      <c r="F95" s="11"/>
      <c r="G95" s="11"/>
      <c r="H95" s="11"/>
      <c r="I95" s="11"/>
      <c r="J95" s="11"/>
      <c r="K95" s="11"/>
      <c r="L95" s="11"/>
      <c r="M95" s="11"/>
      <c r="N95" s="11"/>
      <c r="O95" s="11"/>
      <c r="P95" s="11"/>
      <c r="Q95" s="11"/>
      <c r="R95" s="11"/>
      <c r="S95" s="11"/>
    </row>
    <row r="96" spans="2:19" x14ac:dyDescent="0.25">
      <c r="B96" s="659"/>
      <c r="C96" s="660"/>
      <c r="D96" s="661"/>
      <c r="E96" s="11"/>
      <c r="F96" s="11"/>
      <c r="G96" s="11"/>
      <c r="H96" s="11"/>
      <c r="I96" s="11"/>
      <c r="J96" s="11"/>
      <c r="K96" s="11"/>
      <c r="L96" s="11"/>
      <c r="M96" s="11"/>
      <c r="N96" s="11"/>
      <c r="O96" s="11"/>
      <c r="P96" s="11"/>
      <c r="Q96" s="11"/>
      <c r="R96" s="11"/>
      <c r="S96" s="11"/>
    </row>
    <row r="97" spans="2:19" x14ac:dyDescent="0.25">
      <c r="B97" s="659"/>
      <c r="C97" s="660"/>
      <c r="D97" s="661"/>
      <c r="E97" s="11"/>
      <c r="F97" s="11"/>
      <c r="G97" s="11"/>
      <c r="H97" s="11"/>
      <c r="I97" s="11"/>
      <c r="J97" s="11"/>
      <c r="K97" s="11"/>
      <c r="L97" s="11"/>
      <c r="M97" s="11"/>
      <c r="N97" s="11"/>
      <c r="O97" s="11"/>
      <c r="P97" s="11"/>
      <c r="Q97" s="11"/>
      <c r="R97" s="11"/>
      <c r="S97" s="11"/>
    </row>
    <row r="98" spans="2:19" x14ac:dyDescent="0.25">
      <c r="B98" s="659"/>
      <c r="C98" s="660"/>
      <c r="D98" s="661"/>
      <c r="E98" s="11"/>
      <c r="F98" s="11"/>
      <c r="G98" s="11"/>
      <c r="H98" s="11"/>
      <c r="I98" s="11"/>
      <c r="J98" s="11"/>
      <c r="K98" s="11"/>
      <c r="L98" s="11"/>
      <c r="M98" s="11"/>
      <c r="N98" s="11"/>
      <c r="O98" s="11"/>
      <c r="P98" s="11"/>
      <c r="Q98" s="11"/>
      <c r="R98" s="11"/>
      <c r="S98" s="11"/>
    </row>
    <row r="99" spans="2:19" x14ac:dyDescent="0.25">
      <c r="B99" s="659"/>
      <c r="C99" s="660"/>
      <c r="D99" s="661"/>
      <c r="E99" s="11"/>
      <c r="F99" s="11"/>
      <c r="G99" s="11"/>
      <c r="H99" s="11"/>
      <c r="I99" s="11"/>
      <c r="J99" s="11"/>
      <c r="K99" s="11"/>
      <c r="L99" s="11"/>
      <c r="M99" s="11"/>
      <c r="N99" s="11"/>
      <c r="O99" s="11"/>
      <c r="P99" s="11"/>
      <c r="Q99" s="11"/>
      <c r="R99" s="11"/>
      <c r="S99" s="11"/>
    </row>
    <row r="100" spans="2:19" x14ac:dyDescent="0.25">
      <c r="B100" s="659"/>
      <c r="C100" s="660"/>
      <c r="D100" s="661"/>
      <c r="E100" s="11"/>
      <c r="F100" s="11"/>
      <c r="G100" s="11"/>
      <c r="H100" s="11"/>
      <c r="I100" s="11"/>
      <c r="J100" s="11"/>
      <c r="K100" s="11"/>
      <c r="L100" s="11"/>
      <c r="M100" s="11"/>
      <c r="N100" s="11"/>
      <c r="O100" s="11"/>
      <c r="P100" s="11"/>
      <c r="Q100" s="11"/>
      <c r="R100" s="11"/>
      <c r="S100" s="11"/>
    </row>
    <row r="101" spans="2:19" x14ac:dyDescent="0.25">
      <c r="B101" s="659"/>
      <c r="C101" s="660"/>
      <c r="D101" s="661"/>
      <c r="E101" s="11"/>
      <c r="F101" s="11"/>
      <c r="G101" s="11"/>
      <c r="H101" s="11"/>
      <c r="I101" s="11"/>
      <c r="J101" s="11"/>
      <c r="K101" s="11"/>
      <c r="L101" s="11"/>
      <c r="M101" s="11"/>
      <c r="N101" s="11"/>
      <c r="O101" s="11"/>
      <c r="P101" s="11"/>
      <c r="Q101" s="11"/>
      <c r="R101" s="11"/>
      <c r="S101" s="11"/>
    </row>
    <row r="102" spans="2:19" x14ac:dyDescent="0.25">
      <c r="B102" s="659"/>
      <c r="C102" s="660"/>
      <c r="D102" s="661"/>
      <c r="E102" s="11"/>
      <c r="F102" s="11"/>
      <c r="G102" s="11"/>
      <c r="H102" s="11"/>
      <c r="I102" s="11"/>
      <c r="J102" s="11"/>
      <c r="K102" s="11"/>
      <c r="L102" s="11"/>
      <c r="M102" s="11"/>
      <c r="N102" s="11"/>
      <c r="O102" s="11"/>
      <c r="P102" s="11"/>
      <c r="Q102" s="11"/>
      <c r="R102" s="11"/>
      <c r="S102" s="11"/>
    </row>
    <row r="103" spans="2:19" x14ac:dyDescent="0.25">
      <c r="B103" s="659"/>
      <c r="C103" s="660"/>
      <c r="D103" s="661"/>
      <c r="E103" s="11"/>
      <c r="F103" s="11"/>
      <c r="G103" s="11"/>
      <c r="H103" s="11"/>
      <c r="I103" s="11"/>
      <c r="J103" s="11"/>
      <c r="K103" s="11"/>
      <c r="L103" s="11"/>
      <c r="M103" s="11"/>
      <c r="N103" s="11"/>
      <c r="O103" s="11"/>
      <c r="P103" s="11"/>
      <c r="Q103" s="11"/>
      <c r="R103" s="11"/>
      <c r="S103" s="11"/>
    </row>
    <row r="104" spans="2:19" x14ac:dyDescent="0.25">
      <c r="B104" s="659"/>
      <c r="C104" s="660"/>
      <c r="D104" s="661"/>
      <c r="E104" s="11"/>
      <c r="F104" s="11"/>
      <c r="G104" s="11"/>
      <c r="H104" s="11"/>
      <c r="I104" s="11"/>
      <c r="J104" s="11"/>
      <c r="K104" s="11"/>
      <c r="L104" s="11"/>
      <c r="M104" s="11"/>
      <c r="N104" s="11"/>
      <c r="O104" s="11"/>
      <c r="P104" s="11"/>
      <c r="Q104" s="11"/>
      <c r="R104" s="11"/>
      <c r="S104" s="11"/>
    </row>
    <row r="105" spans="2:19" x14ac:dyDescent="0.25">
      <c r="B105" s="659"/>
      <c r="C105" s="660"/>
      <c r="D105" s="661"/>
      <c r="E105" s="11"/>
      <c r="F105" s="11"/>
      <c r="G105" s="11"/>
      <c r="H105" s="11"/>
      <c r="I105" s="11"/>
      <c r="J105" s="11"/>
      <c r="K105" s="11"/>
      <c r="L105" s="11"/>
      <c r="M105" s="11"/>
      <c r="N105" s="11"/>
      <c r="O105" s="11"/>
      <c r="P105" s="11"/>
      <c r="Q105" s="11"/>
      <c r="R105" s="11"/>
      <c r="S105" s="11"/>
    </row>
    <row r="106" spans="2:19" x14ac:dyDescent="0.25">
      <c r="B106" s="659"/>
      <c r="C106" s="660"/>
      <c r="D106" s="661"/>
      <c r="E106" s="11"/>
      <c r="F106" s="11"/>
      <c r="G106" s="11"/>
      <c r="H106" s="11"/>
      <c r="I106" s="11"/>
      <c r="J106" s="11"/>
      <c r="K106" s="11"/>
      <c r="L106" s="11"/>
      <c r="M106" s="11"/>
      <c r="N106" s="11"/>
      <c r="O106" s="11"/>
      <c r="P106" s="11"/>
      <c r="Q106" s="11"/>
      <c r="R106" s="11"/>
      <c r="S106" s="11"/>
    </row>
    <row r="107" spans="2:19" x14ac:dyDescent="0.25">
      <c r="B107" s="659"/>
      <c r="C107" s="660"/>
      <c r="D107" s="661"/>
      <c r="E107" s="11"/>
      <c r="F107" s="11"/>
      <c r="G107" s="11"/>
      <c r="H107" s="11"/>
      <c r="I107" s="11"/>
      <c r="J107" s="11"/>
      <c r="K107" s="11"/>
      <c r="L107" s="11"/>
      <c r="M107" s="11"/>
      <c r="N107" s="11"/>
      <c r="O107" s="11"/>
      <c r="P107" s="11"/>
      <c r="Q107" s="11"/>
      <c r="R107" s="11"/>
      <c r="S107" s="11"/>
    </row>
    <row r="108" spans="2:19" x14ac:dyDescent="0.25">
      <c r="B108" s="659"/>
      <c r="C108" s="660"/>
      <c r="D108" s="661"/>
      <c r="E108" s="11"/>
      <c r="F108" s="11"/>
      <c r="G108" s="11"/>
      <c r="H108" s="11"/>
      <c r="I108" s="11"/>
      <c r="J108" s="11"/>
      <c r="K108" s="11"/>
      <c r="L108" s="11"/>
      <c r="M108" s="11"/>
      <c r="N108" s="11"/>
      <c r="O108" s="11"/>
      <c r="P108" s="11"/>
      <c r="Q108" s="11"/>
      <c r="R108" s="11"/>
      <c r="S108" s="11"/>
    </row>
    <row r="109" spans="2:19" x14ac:dyDescent="0.25">
      <c r="B109" s="659"/>
      <c r="C109" s="660"/>
      <c r="D109" s="661"/>
      <c r="E109" s="11"/>
      <c r="F109" s="11"/>
      <c r="G109" s="11"/>
      <c r="H109" s="11"/>
      <c r="I109" s="11"/>
      <c r="J109" s="11"/>
      <c r="K109" s="11"/>
      <c r="L109" s="11"/>
      <c r="M109" s="11"/>
      <c r="N109" s="11"/>
      <c r="O109" s="11"/>
      <c r="P109" s="11"/>
      <c r="Q109" s="11"/>
      <c r="R109" s="11"/>
      <c r="S109" s="11"/>
    </row>
    <row r="110" spans="2:19" x14ac:dyDescent="0.25">
      <c r="B110" s="659"/>
      <c r="C110" s="660"/>
      <c r="D110" s="661"/>
      <c r="E110" s="11"/>
      <c r="F110" s="11"/>
      <c r="G110" s="11"/>
      <c r="H110" s="11"/>
      <c r="I110" s="11"/>
      <c r="J110" s="11"/>
      <c r="K110" s="11"/>
      <c r="L110" s="11"/>
      <c r="M110" s="11"/>
      <c r="N110" s="11"/>
      <c r="O110" s="11"/>
      <c r="P110" s="11"/>
      <c r="Q110" s="11"/>
      <c r="R110" s="11"/>
      <c r="S110" s="11"/>
    </row>
    <row r="111" spans="2:19" x14ac:dyDescent="0.25">
      <c r="B111" s="662"/>
      <c r="C111" s="663"/>
      <c r="D111" s="664"/>
      <c r="E111" s="11"/>
      <c r="F111" s="11"/>
      <c r="G111" s="11"/>
      <c r="H111" s="11"/>
      <c r="I111" s="11"/>
      <c r="J111" s="11"/>
      <c r="K111" s="11"/>
      <c r="L111" s="11"/>
      <c r="M111" s="11"/>
      <c r="N111" s="11"/>
      <c r="O111" s="11"/>
      <c r="P111" s="11"/>
      <c r="Q111" s="11"/>
      <c r="R111" s="11"/>
      <c r="S111" s="11"/>
    </row>
    <row r="112" spans="2:19" x14ac:dyDescent="0.25">
      <c r="E112" s="11"/>
      <c r="F112" s="11"/>
      <c r="G112" s="11"/>
      <c r="H112" s="11"/>
      <c r="I112" s="11"/>
      <c r="J112" s="11"/>
      <c r="K112" s="11"/>
      <c r="L112" s="11"/>
      <c r="M112" s="11"/>
      <c r="N112" s="11"/>
      <c r="O112" s="11"/>
      <c r="P112" s="11"/>
      <c r="Q112" s="11"/>
      <c r="R112" s="11"/>
      <c r="S112" s="11"/>
    </row>
    <row r="113" spans="2:4" s="11" customFormat="1" x14ac:dyDescent="0.25">
      <c r="B113" s="39"/>
      <c r="C113" s="39"/>
      <c r="D113" s="39"/>
    </row>
    <row r="114" spans="2:4" s="11" customFormat="1" x14ac:dyDescent="0.25">
      <c r="B114" s="39"/>
      <c r="C114" s="39"/>
      <c r="D114" s="39"/>
    </row>
    <row r="115" spans="2:4" s="11" customFormat="1" x14ac:dyDescent="0.25">
      <c r="B115" s="39"/>
      <c r="C115" s="39"/>
      <c r="D115" s="39"/>
    </row>
    <row r="116" spans="2:4" s="11" customFormat="1" x14ac:dyDescent="0.25">
      <c r="B116" s="39"/>
      <c r="C116" s="39"/>
      <c r="D116" s="39"/>
    </row>
    <row r="117" spans="2:4" s="11" customFormat="1" x14ac:dyDescent="0.25">
      <c r="B117" s="39"/>
      <c r="C117" s="39"/>
      <c r="D117" s="39"/>
    </row>
    <row r="118" spans="2:4" s="11" customFormat="1" x14ac:dyDescent="0.25">
      <c r="B118" s="39"/>
      <c r="C118" s="39"/>
      <c r="D118" s="39"/>
    </row>
    <row r="119" spans="2:4" s="11" customFormat="1" x14ac:dyDescent="0.25">
      <c r="B119" s="39"/>
      <c r="C119" s="39"/>
      <c r="D119" s="39"/>
    </row>
    <row r="120" spans="2:4" s="11" customFormat="1" x14ac:dyDescent="0.25">
      <c r="B120" s="39"/>
      <c r="C120" s="39"/>
      <c r="D120" s="39"/>
    </row>
    <row r="121" spans="2:4" s="11" customFormat="1" x14ac:dyDescent="0.25">
      <c r="B121" s="39"/>
      <c r="C121" s="39"/>
      <c r="D121" s="39"/>
    </row>
    <row r="122" spans="2:4" s="11" customFormat="1" x14ac:dyDescent="0.25">
      <c r="B122" s="39"/>
      <c r="C122" s="39"/>
      <c r="D122" s="39"/>
    </row>
    <row r="123" spans="2:4" s="11" customFormat="1" x14ac:dyDescent="0.25">
      <c r="B123" s="39"/>
      <c r="C123" s="39"/>
      <c r="D123" s="39"/>
    </row>
    <row r="124" spans="2:4" s="11" customFormat="1" x14ac:dyDescent="0.25">
      <c r="B124" s="39"/>
      <c r="C124" s="39"/>
      <c r="D124" s="39"/>
    </row>
    <row r="125" spans="2:4" s="11" customFormat="1" x14ac:dyDescent="0.25">
      <c r="B125" s="39"/>
      <c r="C125" s="39"/>
      <c r="D125" s="39"/>
    </row>
    <row r="126" spans="2:4" s="11" customFormat="1" x14ac:dyDescent="0.25">
      <c r="B126" s="39"/>
      <c r="C126" s="39"/>
      <c r="D126" s="39"/>
    </row>
    <row r="127" spans="2:4" s="11" customFormat="1" x14ac:dyDescent="0.25">
      <c r="B127" s="39"/>
      <c r="C127" s="39"/>
      <c r="D127" s="39"/>
    </row>
    <row r="128" spans="2:4" s="11" customFormat="1" x14ac:dyDescent="0.25">
      <c r="B128" s="39"/>
      <c r="C128" s="39"/>
      <c r="D128" s="39"/>
    </row>
    <row r="129" spans="2:4" s="11" customFormat="1" x14ac:dyDescent="0.25">
      <c r="B129" s="39"/>
      <c r="C129" s="39"/>
      <c r="D129" s="39"/>
    </row>
    <row r="130" spans="2:4" s="11" customFormat="1" x14ac:dyDescent="0.25">
      <c r="B130" s="39"/>
      <c r="C130" s="39"/>
      <c r="D130" s="39"/>
    </row>
    <row r="131" spans="2:4" s="11" customFormat="1" x14ac:dyDescent="0.25">
      <c r="B131" s="39"/>
      <c r="C131" s="39"/>
      <c r="D131" s="39"/>
    </row>
    <row r="132" spans="2:4" s="11" customFormat="1" x14ac:dyDescent="0.25">
      <c r="B132" s="39"/>
      <c r="C132" s="39"/>
      <c r="D132" s="39"/>
    </row>
    <row r="133" spans="2:4" s="11" customFormat="1" x14ac:dyDescent="0.25">
      <c r="B133" s="39"/>
      <c r="C133" s="39"/>
      <c r="D133" s="39"/>
    </row>
    <row r="134" spans="2:4" s="11" customFormat="1" x14ac:dyDescent="0.25">
      <c r="B134" s="39"/>
      <c r="C134" s="39"/>
      <c r="D134" s="39"/>
    </row>
    <row r="135" spans="2:4" s="11" customFormat="1" x14ac:dyDescent="0.25">
      <c r="B135" s="39"/>
      <c r="C135" s="39"/>
      <c r="D135" s="39"/>
    </row>
    <row r="136" spans="2:4" s="11" customFormat="1" x14ac:dyDescent="0.25">
      <c r="B136" s="39"/>
      <c r="C136" s="39"/>
      <c r="D136" s="39"/>
    </row>
    <row r="137" spans="2:4" s="11" customFormat="1" x14ac:dyDescent="0.25">
      <c r="B137" s="39"/>
      <c r="C137" s="39"/>
      <c r="D137" s="39"/>
    </row>
    <row r="138" spans="2:4" s="11" customFormat="1" x14ac:dyDescent="0.25">
      <c r="B138" s="39"/>
      <c r="C138" s="39"/>
      <c r="D138" s="39"/>
    </row>
    <row r="139" spans="2:4" s="11" customFormat="1" x14ac:dyDescent="0.25">
      <c r="B139" s="39"/>
      <c r="C139" s="39"/>
      <c r="D139" s="39"/>
    </row>
    <row r="140" spans="2:4" s="11" customFormat="1" x14ac:dyDescent="0.25">
      <c r="B140" s="39"/>
      <c r="C140" s="39"/>
      <c r="D140" s="39"/>
    </row>
    <row r="141" spans="2:4" s="11" customFormat="1" x14ac:dyDescent="0.25">
      <c r="B141" s="39"/>
      <c r="C141" s="39"/>
      <c r="D141" s="39"/>
    </row>
    <row r="142" spans="2:4" s="11" customFormat="1" x14ac:dyDescent="0.25">
      <c r="B142" s="39"/>
      <c r="C142" s="39"/>
      <c r="D142" s="39"/>
    </row>
    <row r="143" spans="2:4" s="11" customFormat="1" x14ac:dyDescent="0.25">
      <c r="B143" s="39"/>
      <c r="C143" s="39"/>
      <c r="D143" s="39"/>
    </row>
    <row r="144" spans="2:4" s="11" customFormat="1" x14ac:dyDescent="0.25">
      <c r="B144" s="39"/>
      <c r="C144" s="39"/>
      <c r="D144" s="39"/>
    </row>
    <row r="145" spans="2:4" s="11" customFormat="1" x14ac:dyDescent="0.25">
      <c r="B145" s="39"/>
      <c r="C145" s="39"/>
      <c r="D145" s="39"/>
    </row>
    <row r="146" spans="2:4" s="11" customFormat="1" x14ac:dyDescent="0.25">
      <c r="B146" s="39"/>
      <c r="C146" s="39"/>
      <c r="D146" s="39"/>
    </row>
    <row r="147" spans="2:4" s="11" customFormat="1" x14ac:dyDescent="0.25">
      <c r="B147" s="39"/>
      <c r="C147" s="39"/>
      <c r="D147" s="39"/>
    </row>
    <row r="148" spans="2:4" s="11" customFormat="1" x14ac:dyDescent="0.25">
      <c r="B148" s="39"/>
      <c r="C148" s="39"/>
      <c r="D148" s="39"/>
    </row>
    <row r="149" spans="2:4" s="11" customFormat="1" x14ac:dyDescent="0.25">
      <c r="B149" s="39"/>
      <c r="C149" s="39"/>
      <c r="D149" s="39"/>
    </row>
    <row r="150" spans="2:4" s="11" customFormat="1" x14ac:dyDescent="0.25">
      <c r="B150" s="39"/>
      <c r="C150" s="39"/>
      <c r="D150" s="39"/>
    </row>
    <row r="151" spans="2:4" s="11" customFormat="1" x14ac:dyDescent="0.25">
      <c r="B151" s="39"/>
      <c r="C151" s="39"/>
      <c r="D151" s="39"/>
    </row>
    <row r="152" spans="2:4" s="11" customFormat="1" x14ac:dyDescent="0.25">
      <c r="B152" s="39"/>
      <c r="C152" s="39"/>
      <c r="D152" s="39"/>
    </row>
    <row r="153" spans="2:4" s="11" customFormat="1" x14ac:dyDescent="0.25">
      <c r="B153" s="39"/>
      <c r="C153" s="39"/>
      <c r="D153" s="39"/>
    </row>
    <row r="154" spans="2:4" s="11" customFormat="1" x14ac:dyDescent="0.25">
      <c r="B154" s="39"/>
      <c r="C154" s="39"/>
      <c r="D154" s="39"/>
    </row>
    <row r="155" spans="2:4" s="11" customFormat="1" x14ac:dyDescent="0.25">
      <c r="B155" s="39"/>
      <c r="C155" s="39"/>
      <c r="D155" s="39"/>
    </row>
    <row r="156" spans="2:4" s="11" customFormat="1" x14ac:dyDescent="0.25">
      <c r="B156" s="39"/>
      <c r="C156" s="39"/>
      <c r="D156" s="39"/>
    </row>
    <row r="157" spans="2:4" s="11" customFormat="1" x14ac:dyDescent="0.25">
      <c r="B157" s="39"/>
      <c r="C157" s="39"/>
      <c r="D157" s="39"/>
    </row>
    <row r="158" spans="2:4" s="11" customFormat="1" x14ac:dyDescent="0.25">
      <c r="B158" s="39"/>
      <c r="C158" s="39"/>
      <c r="D158" s="39"/>
    </row>
    <row r="159" spans="2:4" s="11" customFormat="1" x14ac:dyDescent="0.25">
      <c r="B159" s="39"/>
      <c r="C159" s="39"/>
      <c r="D159" s="39"/>
    </row>
    <row r="160" spans="2:4" s="11" customFormat="1" x14ac:dyDescent="0.25">
      <c r="B160" s="39"/>
      <c r="C160" s="39"/>
      <c r="D160" s="39"/>
    </row>
    <row r="161" spans="2:4" s="11" customFormat="1" x14ac:dyDescent="0.25">
      <c r="B161" s="39"/>
      <c r="C161" s="39"/>
      <c r="D161" s="39"/>
    </row>
    <row r="162" spans="2:4" s="11" customFormat="1" x14ac:dyDescent="0.25">
      <c r="B162" s="39"/>
      <c r="C162" s="39"/>
      <c r="D162" s="39"/>
    </row>
  </sheetData>
  <sheetProtection algorithmName="SHA-512" hashValue="DZBtmW+4X+++9Z0r0cw492CctqQ2HZsFQMexHFOvDziL41KDPilxFlIqIPH2wvPW0NPPYoS1sFmhThOKoGEbMQ==" saltValue="udwuV8U64YpVa8ZTvWbv1g==" spinCount="100000" sheet="1" objects="1" scenarios="1"/>
  <customSheetViews>
    <customSheetView guid="{A6F5A5FB-2E6E-47D3-842C-0D3D06DB341A}" scale="70" fitToPage="1">
      <selection activeCell="B31" sqref="B31"/>
      <pageMargins left="0" right="0" top="0" bottom="0" header="0" footer="0"/>
      <pageSetup scale="56" orientation="portrait" horizontalDpi="300" verticalDpi="300" r:id="rId1"/>
      <headerFooter alignWithMargins="0"/>
    </customSheetView>
  </customSheetViews>
  <mergeCells count="4">
    <mergeCell ref="B92:D111"/>
    <mergeCell ref="B80:C80"/>
    <mergeCell ref="C7:D7"/>
    <mergeCell ref="C8:D8"/>
  </mergeCells>
  <phoneticPr fontId="2" type="noConversion"/>
  <pageMargins left="0.4" right="0.44" top="0.75" bottom="1" header="0.5" footer="0.5"/>
  <pageSetup scale="28" orientation="portrait" horizontalDpi="300" verticalDpi="30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1"/>
    <pageSetUpPr autoPageBreaks="0"/>
  </sheetPr>
  <dimension ref="A1:BH286"/>
  <sheetViews>
    <sheetView showGridLines="0" topLeftCell="A117" zoomScale="85" zoomScaleNormal="85" zoomScaleSheetLayoutView="40" workbookViewId="0">
      <selection activeCell="D125" sqref="D125"/>
    </sheetView>
  </sheetViews>
  <sheetFormatPr defaultColWidth="9.1796875" defaultRowHeight="12.5" x14ac:dyDescent="0.25"/>
  <cols>
    <col min="1" max="1" width="3.1796875" style="11" customWidth="1"/>
    <col min="2" max="2" width="41.1796875" style="11" customWidth="1"/>
    <col min="3" max="3" width="26.81640625" style="49" customWidth="1"/>
    <col min="4" max="4" width="25.81640625" style="49" customWidth="1"/>
    <col min="5" max="5" width="34.453125" style="49" customWidth="1"/>
    <col min="6" max="6" width="33.81640625" style="49" customWidth="1"/>
    <col min="7" max="8" width="23.81640625" style="49" customWidth="1"/>
    <col min="9" max="12" width="20.81640625" style="49" customWidth="1"/>
    <col min="13" max="13" width="14.453125" style="49" customWidth="1"/>
    <col min="14" max="16384" width="9.1796875" style="11"/>
  </cols>
  <sheetData>
    <row r="1" spans="2:27" ht="13" x14ac:dyDescent="0.3">
      <c r="B1" s="12" t="str">
        <f>version</f>
        <v>COPtool Beta Version 2014k - September 2018</v>
      </c>
    </row>
    <row r="2" spans="2:27" ht="13" x14ac:dyDescent="0.3">
      <c r="B2" s="12" t="s">
        <v>81</v>
      </c>
    </row>
    <row r="3" spans="2:27" ht="18" customHeight="1" x14ac:dyDescent="0.4">
      <c r="B3" s="13" t="s">
        <v>135</v>
      </c>
    </row>
    <row r="4" spans="2:27" ht="13" x14ac:dyDescent="0.3">
      <c r="B4" s="3"/>
    </row>
    <row r="5" spans="2:27" ht="13" x14ac:dyDescent="0.3">
      <c r="B5" s="3" t="s">
        <v>83</v>
      </c>
      <c r="C5" s="24"/>
      <c r="D5" s="25"/>
    </row>
    <row r="6" spans="2:27" ht="13" x14ac:dyDescent="0.3">
      <c r="B6" s="15" t="s">
        <v>136</v>
      </c>
      <c r="C6" s="16" t="s">
        <v>137</v>
      </c>
      <c r="D6" s="17"/>
    </row>
    <row r="7" spans="2:27" ht="13" x14ac:dyDescent="0.3">
      <c r="B7" s="367" t="s">
        <v>84</v>
      </c>
      <c r="C7" s="368" t="s">
        <v>138</v>
      </c>
      <c r="D7" s="369"/>
      <c r="E7" s="4"/>
      <c r="G7" s="94"/>
      <c r="H7" s="94"/>
      <c r="I7" s="94"/>
      <c r="J7" s="11"/>
      <c r="K7" s="11"/>
      <c r="L7" s="11"/>
      <c r="M7" s="11"/>
    </row>
    <row r="8" spans="2:27" ht="13" x14ac:dyDescent="0.3">
      <c r="B8" s="95" t="s">
        <v>86</v>
      </c>
      <c r="C8" s="96" t="s">
        <v>87</v>
      </c>
      <c r="D8" s="97"/>
      <c r="M8" s="11"/>
    </row>
    <row r="9" spans="2:27" ht="13" x14ac:dyDescent="0.3">
      <c r="B9" s="18" t="s">
        <v>139</v>
      </c>
      <c r="C9" s="19" t="s">
        <v>140</v>
      </c>
      <c r="D9" s="20"/>
      <c r="M9" s="11"/>
    </row>
    <row r="10" spans="2:27" ht="13" x14ac:dyDescent="0.3">
      <c r="B10" s="21" t="s">
        <v>141</v>
      </c>
      <c r="C10" s="22" t="s">
        <v>142</v>
      </c>
      <c r="D10" s="23"/>
      <c r="E10" s="11"/>
    </row>
    <row r="11" spans="2:27" ht="13" x14ac:dyDescent="0.3">
      <c r="B11" s="317" t="s">
        <v>143</v>
      </c>
      <c r="C11" s="318" t="s">
        <v>144</v>
      </c>
      <c r="D11" s="319"/>
      <c r="E11" s="11"/>
    </row>
    <row r="12" spans="2:27" x14ac:dyDescent="0.25">
      <c r="C12" s="24"/>
      <c r="D12" s="25"/>
      <c r="E12" s="11"/>
    </row>
    <row r="13" spans="2:27" ht="17.25" customHeight="1" x14ac:dyDescent="0.3">
      <c r="B13" s="98"/>
      <c r="C13" s="24"/>
      <c r="D13" s="25"/>
      <c r="E13" s="11"/>
      <c r="F13" s="11"/>
      <c r="G13" s="11"/>
      <c r="H13" s="11"/>
      <c r="I13" s="11"/>
      <c r="J13" s="11"/>
      <c r="K13" s="11"/>
    </row>
    <row r="14" spans="2:27" ht="13" x14ac:dyDescent="0.3">
      <c r="B14" s="99"/>
      <c r="C14" s="24"/>
      <c r="D14" s="25"/>
      <c r="E14" s="11"/>
      <c r="F14" s="11"/>
      <c r="G14" s="11"/>
      <c r="H14" s="11"/>
      <c r="I14" s="11"/>
      <c r="J14" s="11"/>
      <c r="K14" s="11"/>
    </row>
    <row r="15" spans="2:27" s="90" customFormat="1" ht="15.5" x14ac:dyDescent="0.35">
      <c r="B15" s="85" t="s">
        <v>145</v>
      </c>
      <c r="C15" s="100"/>
      <c r="D15" s="100"/>
      <c r="E15" s="100"/>
      <c r="F15" s="100"/>
      <c r="G15" s="100"/>
      <c r="H15" s="100"/>
      <c r="I15" s="100"/>
      <c r="J15" s="100"/>
      <c r="K15" s="100"/>
      <c r="L15" s="100"/>
      <c r="M15" s="100"/>
      <c r="AA15" s="428" t="s">
        <v>146</v>
      </c>
    </row>
    <row r="16" spans="2:27" ht="13.5" customHeight="1" thickBot="1" x14ac:dyDescent="0.3">
      <c r="B16" s="11" t="s">
        <v>147</v>
      </c>
      <c r="AA16" s="428" t="s">
        <v>148</v>
      </c>
    </row>
    <row r="17" spans="2:27" ht="13.5" thickBot="1" x14ac:dyDescent="0.35">
      <c r="B17" s="480" t="s">
        <v>149</v>
      </c>
      <c r="C17" s="539"/>
      <c r="E17" s="101" t="s">
        <v>150</v>
      </c>
      <c r="F17" s="102"/>
      <c r="G17" s="102"/>
      <c r="H17" s="103"/>
      <c r="AA17" s="428" t="s">
        <v>151</v>
      </c>
    </row>
    <row r="18" spans="2:27" ht="12.75" customHeight="1" x14ac:dyDescent="0.25">
      <c r="B18" s="480" t="s">
        <v>152</v>
      </c>
      <c r="C18" s="539"/>
      <c r="E18" s="138" t="s">
        <v>153</v>
      </c>
      <c r="F18" s="139"/>
      <c r="G18" s="139"/>
      <c r="H18" s="140"/>
      <c r="I18" s="11"/>
      <c r="AA18" s="428" t="s">
        <v>154</v>
      </c>
    </row>
    <row r="19" spans="2:27" x14ac:dyDescent="0.25">
      <c r="B19" s="480" t="s">
        <v>155</v>
      </c>
      <c r="C19" s="539"/>
      <c r="E19" s="104" t="s">
        <v>156</v>
      </c>
      <c r="H19" s="105"/>
      <c r="AA19" s="428" t="s">
        <v>157</v>
      </c>
    </row>
    <row r="20" spans="2:27" x14ac:dyDescent="0.25">
      <c r="B20" s="480" t="s">
        <v>158</v>
      </c>
      <c r="C20" s="539"/>
      <c r="E20" s="104" t="s">
        <v>159</v>
      </c>
      <c r="H20" s="105"/>
      <c r="AA20" s="428" t="s">
        <v>160</v>
      </c>
    </row>
    <row r="21" spans="2:27" x14ac:dyDescent="0.25">
      <c r="B21" s="480" t="s">
        <v>161</v>
      </c>
      <c r="C21" s="539"/>
      <c r="E21" s="104" t="s">
        <v>162</v>
      </c>
      <c r="H21" s="105"/>
      <c r="AA21" s="428" t="s">
        <v>163</v>
      </c>
    </row>
    <row r="22" spans="2:27" ht="14.5" x14ac:dyDescent="0.25">
      <c r="B22" s="480" t="s">
        <v>164</v>
      </c>
      <c r="C22" s="539"/>
      <c r="E22" s="104"/>
      <c r="H22" s="105"/>
      <c r="AA22" s="428" t="s">
        <v>165</v>
      </c>
    </row>
    <row r="23" spans="2:27" ht="13" thickBot="1" x14ac:dyDescent="0.3">
      <c r="B23" s="480" t="s">
        <v>166</v>
      </c>
      <c r="C23" s="539"/>
      <c r="E23" s="106" t="s">
        <v>167</v>
      </c>
      <c r="F23" s="107"/>
      <c r="G23" s="107"/>
      <c r="H23" s="108"/>
      <c r="AA23" s="428" t="s">
        <v>168</v>
      </c>
    </row>
    <row r="24" spans="2:27" x14ac:dyDescent="0.25">
      <c r="B24" s="480" t="s">
        <v>169</v>
      </c>
      <c r="C24" s="541"/>
      <c r="E24" s="11"/>
      <c r="AA24" s="428" t="s">
        <v>170</v>
      </c>
    </row>
    <row r="25" spans="2:27" x14ac:dyDescent="0.25">
      <c r="B25" s="50"/>
      <c r="C25" s="398"/>
      <c r="E25" s="11"/>
      <c r="F25" s="11"/>
      <c r="G25" s="11"/>
      <c r="H25" s="11"/>
      <c r="AA25" s="428" t="s">
        <v>171</v>
      </c>
    </row>
    <row r="26" spans="2:27" x14ac:dyDescent="0.25">
      <c r="B26" s="480" t="s">
        <v>172</v>
      </c>
      <c r="C26" s="539"/>
      <c r="E26" s="11"/>
      <c r="AA26" s="428" t="s">
        <v>173</v>
      </c>
    </row>
    <row r="27" spans="2:27" x14ac:dyDescent="0.25">
      <c r="B27" s="480" t="s">
        <v>174</v>
      </c>
      <c r="C27" s="538"/>
      <c r="E27" s="11"/>
      <c r="AA27" s="457" t="s">
        <v>175</v>
      </c>
    </row>
    <row r="28" spans="2:27" x14ac:dyDescent="0.25">
      <c r="B28" s="480" t="s">
        <v>176</v>
      </c>
      <c r="C28" s="538"/>
      <c r="E28" s="11"/>
      <c r="AA28" s="457"/>
    </row>
    <row r="29" spans="2:27" ht="60.75" customHeight="1" x14ac:dyDescent="0.25">
      <c r="B29" s="474" t="s">
        <v>177</v>
      </c>
      <c r="C29" s="539"/>
      <c r="AA29" s="428" t="s">
        <v>178</v>
      </c>
    </row>
    <row r="30" spans="2:27" ht="34.5" customHeight="1" x14ac:dyDescent="0.25">
      <c r="B30" s="474" t="s">
        <v>179</v>
      </c>
      <c r="C30" s="540" t="str">
        <f>IF(SUM('V. Baseline Anaerobic CH4'!G22,'V. Baseline Anaerobic CH4'!G44,'V. Baseline Anaerobic CH4'!G66,'V. Baseline Anaerobic CH4'!G88,'V. Baseline Anaerobic CH4'!G109,'V. Baseline Anaerobic CH4'!G130,'V. Baseline Anaerobic CH4'!G151,'V. Baseline Anaerobic CH4'!G172,'V. Baseline Anaerobic CH4'!G192,'V. Baseline Anaerobic CH4'!G214,'V. Baseline Anaerobic CH4'!G235,'V. Baseline Anaerobic CH4'!G256,'V. Baseline Anaerobic CH4'!G279,'V. Baseline Anaerobic CH4'!G300,'V. Baseline Anaerobic CH4'!G321,'V. Baseline Anaerobic CH4'!G343,'V. Baseline Anaerobic CH4'!G365,'V. Baseline Anaerobic CH4'!G386,'V. Baseline Anaerobic CH4'!G408,'V. Baseline Anaerobic CH4'!G429)=0, "NO", "YES")</f>
        <v>NO</v>
      </c>
      <c r="AA30" s="428" t="s">
        <v>180</v>
      </c>
    </row>
    <row r="31" spans="2:27" ht="13" x14ac:dyDescent="0.3">
      <c r="B31" s="14"/>
      <c r="AA31" s="428" t="s">
        <v>181</v>
      </c>
    </row>
    <row r="32" spans="2:27" s="90" customFormat="1" ht="15.5" x14ac:dyDescent="0.35">
      <c r="B32" s="85" t="s">
        <v>182</v>
      </c>
      <c r="C32" s="100"/>
      <c r="D32" s="100"/>
      <c r="E32" s="100"/>
      <c r="F32" s="100"/>
      <c r="G32" s="100"/>
      <c r="H32" s="100"/>
      <c r="I32" s="100"/>
      <c r="J32" s="100"/>
      <c r="K32" s="100"/>
      <c r="L32" s="100"/>
      <c r="M32" s="100"/>
      <c r="AA32" s="428" t="s">
        <v>183</v>
      </c>
    </row>
    <row r="33" spans="1:27" ht="51.75" customHeight="1" x14ac:dyDescent="0.25">
      <c r="B33" s="671" t="s">
        <v>184</v>
      </c>
      <c r="C33" s="671"/>
      <c r="D33" s="671"/>
      <c r="E33" s="671"/>
      <c r="F33" s="671"/>
      <c r="G33" s="671"/>
      <c r="AA33" s="428" t="s">
        <v>185</v>
      </c>
    </row>
    <row r="34" spans="1:27" ht="38.25" customHeight="1" x14ac:dyDescent="0.3">
      <c r="A34" s="49"/>
      <c r="B34" s="136" t="s">
        <v>186</v>
      </c>
      <c r="C34" s="136" t="s">
        <v>187</v>
      </c>
      <c r="D34" s="535" t="s">
        <v>188</v>
      </c>
      <c r="E34" s="535" t="s">
        <v>189</v>
      </c>
      <c r="F34" s="535" t="s">
        <v>190</v>
      </c>
      <c r="G34" s="535" t="s">
        <v>191</v>
      </c>
      <c r="H34" s="535" t="s">
        <v>192</v>
      </c>
      <c r="J34" s="674" t="s">
        <v>193</v>
      </c>
      <c r="K34" s="675"/>
      <c r="L34" s="675"/>
      <c r="M34" s="676"/>
      <c r="N34" s="49"/>
      <c r="AA34" s="428" t="s">
        <v>194</v>
      </c>
    </row>
    <row r="35" spans="1:27" ht="13" x14ac:dyDescent="0.3">
      <c r="B35" s="536" t="str">
        <f>IF(ISBLANK($C$27),"-",TEXT(EOMONTH($C$27,0),"mmmmmmmmmm"))</f>
        <v>-</v>
      </c>
      <c r="C35" s="33"/>
      <c r="D35" s="455"/>
      <c r="E35" s="646" t="e">
        <f>VLOOKUP(B35, 'XIV. References'!$B$249:$C$260,2, FALSE)</f>
        <v>#N/A</v>
      </c>
      <c r="F35" s="456"/>
      <c r="G35" s="537">
        <f>IF(D35=0,0,E35-F35)</f>
        <v>0</v>
      </c>
      <c r="H35" s="456"/>
      <c r="J35" s="677"/>
      <c r="K35" s="678"/>
      <c r="L35" s="678"/>
      <c r="M35" s="679"/>
      <c r="N35" s="49"/>
      <c r="AA35" s="428" t="s">
        <v>195</v>
      </c>
    </row>
    <row r="36" spans="1:27" ht="13" x14ac:dyDescent="0.3">
      <c r="B36" s="536" t="str">
        <f>IF(ISBLANK($C$27),"-",TEXT(EOMONTH($C$27,1),"mmmmmmmmmm"))</f>
        <v>-</v>
      </c>
      <c r="C36" s="33"/>
      <c r="D36" s="455"/>
      <c r="E36" s="647" t="e">
        <f>VLOOKUP(B36, 'XIV. References'!$B$249:$C$260,2, FALSE)</f>
        <v>#N/A</v>
      </c>
      <c r="F36" s="456"/>
      <c r="G36" s="537">
        <f>IF(D36=0,0,E36-F36)</f>
        <v>0</v>
      </c>
      <c r="H36" s="456"/>
      <c r="I36" s="1" t="b">
        <f t="shared" ref="I36:I46" si="0">IF($C$29=B36, TRUE, FALSE)</f>
        <v>0</v>
      </c>
      <c r="J36" s="677"/>
      <c r="K36" s="678"/>
      <c r="L36" s="678"/>
      <c r="M36" s="679"/>
      <c r="N36" s="49"/>
      <c r="AA36" s="428" t="s">
        <v>196</v>
      </c>
    </row>
    <row r="37" spans="1:27" ht="13" x14ac:dyDescent="0.3">
      <c r="B37" s="536" t="str">
        <f>IF(ISBLANK($C$27),"-",TEXT(EOMONTH($C$27,2),"mmmmmmmmmm"))</f>
        <v>-</v>
      </c>
      <c r="C37" s="33"/>
      <c r="D37" s="455"/>
      <c r="E37" s="647" t="e">
        <f>VLOOKUP(B37, 'XIV. References'!$B$249:$C$260,2, FALSE)</f>
        <v>#N/A</v>
      </c>
      <c r="F37" s="456"/>
      <c r="G37" s="537">
        <f t="shared" ref="G37:G47" si="1">IF(D37=0,0,E37-F37)</f>
        <v>0</v>
      </c>
      <c r="H37" s="456"/>
      <c r="I37" s="1" t="b">
        <f t="shared" si="0"/>
        <v>0</v>
      </c>
      <c r="J37" s="677"/>
      <c r="K37" s="678"/>
      <c r="L37" s="678"/>
      <c r="M37" s="679"/>
      <c r="N37" s="49"/>
      <c r="AA37" s="428" t="s">
        <v>197</v>
      </c>
    </row>
    <row r="38" spans="1:27" ht="13" x14ac:dyDescent="0.3">
      <c r="B38" s="536" t="str">
        <f>IF(ISBLANK($C$27),"-",TEXT(EOMONTH($C$27,3),"mmmmmmmmmm"))</f>
        <v>-</v>
      </c>
      <c r="C38" s="33"/>
      <c r="D38" s="455"/>
      <c r="E38" s="647" t="e">
        <f>VLOOKUP(B38, 'XIV. References'!$B$249:$C$260,2, FALSE)</f>
        <v>#N/A</v>
      </c>
      <c r="F38" s="456"/>
      <c r="G38" s="537">
        <f t="shared" si="1"/>
        <v>0</v>
      </c>
      <c r="H38" s="456"/>
      <c r="I38" s="1" t="b">
        <f t="shared" si="0"/>
        <v>0</v>
      </c>
      <c r="J38" s="677"/>
      <c r="K38" s="678"/>
      <c r="L38" s="678"/>
      <c r="M38" s="679"/>
      <c r="N38" s="49"/>
      <c r="AA38" s="428" t="s">
        <v>198</v>
      </c>
    </row>
    <row r="39" spans="1:27" ht="13" x14ac:dyDescent="0.3">
      <c r="B39" s="536" t="str">
        <f>IF(ISBLANK($C$27),"-",TEXT(EOMONTH($C$27,4),"mmmmmmmmmm"))</f>
        <v>-</v>
      </c>
      <c r="C39" s="33"/>
      <c r="D39" s="455"/>
      <c r="E39" s="647" t="e">
        <f>VLOOKUP(B39, 'XIV. References'!$B$249:$C$260,2, FALSE)</f>
        <v>#N/A</v>
      </c>
      <c r="F39" s="456"/>
      <c r="G39" s="537">
        <f t="shared" si="1"/>
        <v>0</v>
      </c>
      <c r="H39" s="456"/>
      <c r="I39" s="1" t="b">
        <f t="shared" si="0"/>
        <v>0</v>
      </c>
      <c r="J39" s="677"/>
      <c r="K39" s="678"/>
      <c r="L39" s="678"/>
      <c r="M39" s="679"/>
      <c r="N39" s="49"/>
      <c r="AA39" s="428" t="s">
        <v>199</v>
      </c>
    </row>
    <row r="40" spans="1:27" ht="13" x14ac:dyDescent="0.3">
      <c r="B40" s="536" t="str">
        <f>IF(ISBLANK($C$27),"-",TEXT(EOMONTH($C$27,5),"mmmmmmmmmm"))</f>
        <v>-</v>
      </c>
      <c r="C40" s="33"/>
      <c r="D40" s="455"/>
      <c r="E40" s="647" t="e">
        <f>VLOOKUP(B40, 'XIV. References'!$B$249:$C$260,2, FALSE)</f>
        <v>#N/A</v>
      </c>
      <c r="F40" s="456"/>
      <c r="G40" s="537">
        <f t="shared" si="1"/>
        <v>0</v>
      </c>
      <c r="H40" s="456"/>
      <c r="I40" s="1" t="b">
        <f t="shared" si="0"/>
        <v>0</v>
      </c>
      <c r="J40" s="677"/>
      <c r="K40" s="678"/>
      <c r="L40" s="678"/>
      <c r="M40" s="679"/>
      <c r="N40" s="49"/>
      <c r="AA40" s="428" t="s">
        <v>200</v>
      </c>
    </row>
    <row r="41" spans="1:27" ht="13" x14ac:dyDescent="0.3">
      <c r="B41" s="536" t="str">
        <f>IF(ISBLANK($C$27),"-",TEXT(EOMONTH($C$27,6),"mmmmmmmmmm"))</f>
        <v>-</v>
      </c>
      <c r="C41" s="33"/>
      <c r="D41" s="455"/>
      <c r="E41" s="647" t="e">
        <f>VLOOKUP(B41, 'XIV. References'!$B$249:$C$260,2, FALSE)</f>
        <v>#N/A</v>
      </c>
      <c r="F41" s="456"/>
      <c r="G41" s="537">
        <f t="shared" si="1"/>
        <v>0</v>
      </c>
      <c r="H41" s="456"/>
      <c r="I41" s="1" t="b">
        <f t="shared" si="0"/>
        <v>0</v>
      </c>
      <c r="J41" s="677"/>
      <c r="K41" s="678"/>
      <c r="L41" s="678"/>
      <c r="M41" s="679"/>
      <c r="N41" s="49"/>
      <c r="AA41" s="428" t="s">
        <v>201</v>
      </c>
    </row>
    <row r="42" spans="1:27" ht="13" x14ac:dyDescent="0.3">
      <c r="B42" s="536" t="str">
        <f>IF(ISBLANK($C$27),"-",TEXT(EOMONTH($C$27,7),"mmmmmmmmmm"))</f>
        <v>-</v>
      </c>
      <c r="C42" s="33"/>
      <c r="D42" s="455"/>
      <c r="E42" s="647" t="e">
        <f>VLOOKUP(B42, 'XIV. References'!$B$249:$C$260,2, FALSE)</f>
        <v>#N/A</v>
      </c>
      <c r="F42" s="456"/>
      <c r="G42" s="537">
        <f t="shared" si="1"/>
        <v>0</v>
      </c>
      <c r="H42" s="456"/>
      <c r="I42" s="1" t="b">
        <f t="shared" si="0"/>
        <v>0</v>
      </c>
      <c r="J42" s="677"/>
      <c r="K42" s="678"/>
      <c r="L42" s="678"/>
      <c r="M42" s="679"/>
      <c r="N42" s="49"/>
      <c r="AA42" s="428" t="s">
        <v>202</v>
      </c>
    </row>
    <row r="43" spans="1:27" ht="13" x14ac:dyDescent="0.3">
      <c r="B43" s="536" t="str">
        <f>IF(ISBLANK($C$27),"-",TEXT(EOMONTH($C$27,8),"mmmmmmmmmm"))</f>
        <v>-</v>
      </c>
      <c r="C43" s="33"/>
      <c r="D43" s="455"/>
      <c r="E43" s="647" t="e">
        <f>VLOOKUP(B43, 'XIV. References'!$B$249:$C$260,2, FALSE)</f>
        <v>#N/A</v>
      </c>
      <c r="F43" s="456"/>
      <c r="G43" s="537">
        <f t="shared" si="1"/>
        <v>0</v>
      </c>
      <c r="H43" s="456"/>
      <c r="I43" s="1" t="b">
        <f t="shared" si="0"/>
        <v>0</v>
      </c>
      <c r="J43" s="677"/>
      <c r="K43" s="678"/>
      <c r="L43" s="678"/>
      <c r="M43" s="679"/>
      <c r="N43" s="49"/>
      <c r="AA43" s="428" t="s">
        <v>203</v>
      </c>
    </row>
    <row r="44" spans="1:27" ht="13" x14ac:dyDescent="0.3">
      <c r="B44" s="536" t="str">
        <f>IF(ISBLANK($C$27),"-",TEXT(EOMONTH($C$27,9),"mmmmmmmmmm"))</f>
        <v>-</v>
      </c>
      <c r="C44" s="33"/>
      <c r="D44" s="455"/>
      <c r="E44" s="647" t="e">
        <f>VLOOKUP(B44, 'XIV. References'!$B$249:$C$260,2, FALSE)</f>
        <v>#N/A</v>
      </c>
      <c r="F44" s="456"/>
      <c r="G44" s="537">
        <f t="shared" si="1"/>
        <v>0</v>
      </c>
      <c r="H44" s="456"/>
      <c r="I44" s="1" t="b">
        <f t="shared" si="0"/>
        <v>0</v>
      </c>
      <c r="J44" s="677"/>
      <c r="K44" s="678"/>
      <c r="L44" s="678"/>
      <c r="M44" s="679"/>
      <c r="N44" s="49"/>
      <c r="AA44" s="428" t="s">
        <v>204</v>
      </c>
    </row>
    <row r="45" spans="1:27" ht="13" x14ac:dyDescent="0.3">
      <c r="B45" s="536" t="str">
        <f>IF(ISBLANK($C$27),"-",TEXT(EOMONTH($C$27,10),"mmmmmmmmmm"))</f>
        <v>-</v>
      </c>
      <c r="C45" s="33"/>
      <c r="D45" s="455"/>
      <c r="E45" s="647" t="e">
        <f>VLOOKUP(B45, 'XIV. References'!$B$249:$C$260,2, FALSE)</f>
        <v>#N/A</v>
      </c>
      <c r="F45" s="456"/>
      <c r="G45" s="537">
        <f t="shared" si="1"/>
        <v>0</v>
      </c>
      <c r="H45" s="456"/>
      <c r="I45" s="1" t="b">
        <f t="shared" si="0"/>
        <v>0</v>
      </c>
      <c r="J45" s="677"/>
      <c r="K45" s="678"/>
      <c r="L45" s="678"/>
      <c r="M45" s="679"/>
      <c r="N45" s="49"/>
      <c r="AA45" s="428" t="s">
        <v>205</v>
      </c>
    </row>
    <row r="46" spans="1:27" ht="13" x14ac:dyDescent="0.3">
      <c r="B46" s="536" t="str">
        <f>IF(ISBLANK($C$27),"-",TEXT(EOMONTH($C$27,11),"mmmmmmmmmm"))</f>
        <v>-</v>
      </c>
      <c r="C46" s="33"/>
      <c r="D46" s="455"/>
      <c r="E46" s="647" t="e">
        <f>VLOOKUP(B46, 'XIV. References'!$B$249:$C$260,2, FALSE)</f>
        <v>#N/A</v>
      </c>
      <c r="F46" s="456"/>
      <c r="G46" s="537">
        <f t="shared" si="1"/>
        <v>0</v>
      </c>
      <c r="H46" s="456"/>
      <c r="I46" s="1" t="b">
        <f t="shared" si="0"/>
        <v>0</v>
      </c>
      <c r="J46" s="677"/>
      <c r="K46" s="678"/>
      <c r="L46" s="678"/>
      <c r="M46" s="679"/>
      <c r="N46" s="49"/>
      <c r="AA46" s="428" t="s">
        <v>206</v>
      </c>
    </row>
    <row r="47" spans="1:27" ht="13" x14ac:dyDescent="0.3">
      <c r="B47" s="536" t="str">
        <f>B35</f>
        <v>-</v>
      </c>
      <c r="C47" s="33"/>
      <c r="D47" s="455"/>
      <c r="E47" s="646" t="e">
        <f>E35</f>
        <v>#N/A</v>
      </c>
      <c r="F47" s="456"/>
      <c r="G47" s="537">
        <f t="shared" si="1"/>
        <v>0</v>
      </c>
      <c r="H47" s="456"/>
      <c r="I47" s="1"/>
      <c r="J47" s="680"/>
      <c r="K47" s="681"/>
      <c r="L47" s="681"/>
      <c r="M47" s="682"/>
      <c r="N47" s="49"/>
      <c r="AA47" s="428"/>
    </row>
    <row r="48" spans="1:27" ht="13" x14ac:dyDescent="0.3">
      <c r="B48" s="3"/>
      <c r="C48" s="111"/>
      <c r="D48" s="458" t="s">
        <v>207</v>
      </c>
      <c r="E48" s="537" t="e">
        <f>SUMPRODUCT(D35:D47, E35:E47)</f>
        <v>#N/A</v>
      </c>
      <c r="F48" s="458" t="s">
        <v>208</v>
      </c>
      <c r="G48" s="537">
        <f>SUMPRODUCT(G35:G47, D35:D47)</f>
        <v>0</v>
      </c>
      <c r="H48" s="537">
        <f>SUM(H35:H47)</f>
        <v>0</v>
      </c>
      <c r="K48" s="11"/>
      <c r="L48" s="11"/>
      <c r="M48" s="11"/>
      <c r="AA48" s="428" t="s">
        <v>209</v>
      </c>
    </row>
    <row r="49" spans="2:27" ht="13" x14ac:dyDescent="0.3">
      <c r="B49" s="3"/>
      <c r="C49" s="4"/>
      <c r="D49" s="98"/>
      <c r="G49" s="11"/>
      <c r="AA49" s="428" t="s">
        <v>210</v>
      </c>
    </row>
    <row r="50" spans="2:27" s="90" customFormat="1" ht="15.75" customHeight="1" x14ac:dyDescent="0.35">
      <c r="B50" s="85" t="s">
        <v>211</v>
      </c>
      <c r="C50" s="100"/>
      <c r="D50" s="100"/>
      <c r="E50" s="100"/>
      <c r="F50" s="100"/>
      <c r="G50" s="100"/>
      <c r="H50" s="100"/>
      <c r="I50" s="100"/>
      <c r="J50" s="100"/>
      <c r="K50" s="100"/>
      <c r="L50" s="100"/>
      <c r="M50" s="100"/>
      <c r="AA50" s="428" t="s">
        <v>212</v>
      </c>
    </row>
    <row r="51" spans="2:27" ht="33" customHeight="1" thickBot="1" x14ac:dyDescent="0.3">
      <c r="B51" s="671" t="s">
        <v>213</v>
      </c>
      <c r="C51" s="671"/>
      <c r="D51" s="671"/>
      <c r="E51" s="671"/>
      <c r="AA51" s="428" t="s">
        <v>214</v>
      </c>
    </row>
    <row r="52" spans="2:27" ht="13.5" thickBot="1" x14ac:dyDescent="0.35">
      <c r="B52" s="672" t="s">
        <v>215</v>
      </c>
      <c r="C52" s="672"/>
      <c r="E52" s="112" t="s">
        <v>216</v>
      </c>
      <c r="M52" s="11"/>
      <c r="AA52" s="428" t="s">
        <v>217</v>
      </c>
    </row>
    <row r="53" spans="2:27" s="49" customFormat="1" ht="15" x14ac:dyDescent="0.4">
      <c r="B53" s="542" t="s">
        <v>94</v>
      </c>
      <c r="C53" s="136" t="s">
        <v>218</v>
      </c>
      <c r="E53" s="113" t="s">
        <v>219</v>
      </c>
      <c r="AA53" s="428" t="s">
        <v>220</v>
      </c>
    </row>
    <row r="54" spans="2:27" x14ac:dyDescent="0.25">
      <c r="B54" s="543"/>
      <c r="C54" s="33"/>
      <c r="E54" s="114" t="s">
        <v>221</v>
      </c>
      <c r="J54" s="11"/>
      <c r="K54" s="11"/>
      <c r="L54" s="11"/>
      <c r="M54" s="11"/>
      <c r="AA54" s="428" t="s">
        <v>222</v>
      </c>
    </row>
    <row r="55" spans="2:27" x14ac:dyDescent="0.25">
      <c r="B55" s="543"/>
      <c r="C55" s="543"/>
      <c r="E55" s="114" t="s">
        <v>223</v>
      </c>
      <c r="J55" s="11"/>
      <c r="K55" s="11"/>
      <c r="L55" s="11"/>
      <c r="M55" s="11"/>
      <c r="AA55" s="428" t="s">
        <v>224</v>
      </c>
    </row>
    <row r="56" spans="2:27" x14ac:dyDescent="0.25">
      <c r="B56" s="543"/>
      <c r="C56" s="33"/>
      <c r="E56" s="114" t="s">
        <v>225</v>
      </c>
      <c r="J56" s="11"/>
      <c r="K56" s="11"/>
      <c r="L56" s="11"/>
      <c r="M56" s="11"/>
      <c r="AA56" s="428" t="s">
        <v>226</v>
      </c>
    </row>
    <row r="57" spans="2:27" x14ac:dyDescent="0.25">
      <c r="B57" s="543"/>
      <c r="C57" s="543"/>
      <c r="E57" s="114" t="s">
        <v>227</v>
      </c>
      <c r="J57" s="11"/>
      <c r="K57" s="11"/>
      <c r="L57" s="11"/>
      <c r="M57" s="11"/>
      <c r="AA57" s="428" t="s">
        <v>228</v>
      </c>
    </row>
    <row r="58" spans="2:27" x14ac:dyDescent="0.25">
      <c r="B58" s="543"/>
      <c r="C58" s="543"/>
      <c r="E58" s="114" t="s">
        <v>229</v>
      </c>
      <c r="J58" s="11"/>
      <c r="K58" s="11"/>
      <c r="L58" s="11"/>
      <c r="M58" s="11"/>
      <c r="AA58" s="428" t="s">
        <v>230</v>
      </c>
    </row>
    <row r="59" spans="2:27" x14ac:dyDescent="0.25">
      <c r="B59" s="543"/>
      <c r="C59" s="543"/>
      <c r="E59" s="114" t="s">
        <v>231</v>
      </c>
      <c r="J59" s="11"/>
      <c r="K59" s="11"/>
      <c r="L59" s="11"/>
      <c r="M59" s="11"/>
      <c r="AA59" s="428" t="s">
        <v>232</v>
      </c>
    </row>
    <row r="60" spans="2:27" x14ac:dyDescent="0.25">
      <c r="B60" s="543"/>
      <c r="C60" s="543"/>
      <c r="E60" s="114" t="s">
        <v>233</v>
      </c>
      <c r="J60" s="11"/>
      <c r="K60" s="11"/>
      <c r="L60" s="11"/>
      <c r="M60" s="11"/>
      <c r="AA60" s="428" t="s">
        <v>234</v>
      </c>
    </row>
    <row r="61" spans="2:27" x14ac:dyDescent="0.25">
      <c r="B61" s="543"/>
      <c r="C61" s="543"/>
      <c r="E61" s="114" t="s">
        <v>235</v>
      </c>
      <c r="J61" s="11"/>
      <c r="K61" s="11"/>
      <c r="L61" s="11"/>
      <c r="M61" s="11"/>
      <c r="AA61" s="428" t="s">
        <v>236</v>
      </c>
    </row>
    <row r="62" spans="2:27" ht="13" thickBot="1" x14ac:dyDescent="0.3">
      <c r="B62" s="543"/>
      <c r="C62" s="543"/>
      <c r="E62" s="115" t="s">
        <v>237</v>
      </c>
      <c r="J62" s="11"/>
      <c r="K62" s="11"/>
      <c r="L62" s="11"/>
      <c r="M62" s="11"/>
      <c r="AA62" s="428" t="s">
        <v>238</v>
      </c>
    </row>
    <row r="63" spans="2:27" x14ac:dyDescent="0.25">
      <c r="B63" s="543"/>
      <c r="C63" s="543"/>
      <c r="F63" s="11"/>
      <c r="L63" s="11"/>
      <c r="M63" s="11"/>
      <c r="AA63" s="428" t="s">
        <v>239</v>
      </c>
    </row>
    <row r="64" spans="2:27" ht="17.25" customHeight="1" x14ac:dyDescent="0.25">
      <c r="B64" s="56"/>
      <c r="C64" s="8"/>
      <c r="E64" s="56"/>
      <c r="F64" s="116"/>
      <c r="L64" s="11"/>
      <c r="M64" s="11"/>
      <c r="AA64" s="428" t="s">
        <v>240</v>
      </c>
    </row>
    <row r="65" spans="2:27" ht="15" customHeight="1" x14ac:dyDescent="0.25">
      <c r="B65" s="673" t="s">
        <v>241</v>
      </c>
      <c r="C65" s="673"/>
      <c r="D65" s="673"/>
      <c r="E65" s="673"/>
      <c r="L65" s="11"/>
      <c r="M65" s="11"/>
      <c r="AA65" s="428" t="s">
        <v>242</v>
      </c>
    </row>
    <row r="66" spans="2:27" ht="15" customHeight="1" x14ac:dyDescent="0.25">
      <c r="B66" s="673"/>
      <c r="C66" s="673"/>
      <c r="D66" s="673"/>
      <c r="E66" s="673"/>
      <c r="L66" s="11"/>
      <c r="M66" s="11"/>
      <c r="AA66" s="428" t="s">
        <v>243</v>
      </c>
    </row>
    <row r="67" spans="2:27" ht="15" customHeight="1" x14ac:dyDescent="0.25">
      <c r="B67" s="673"/>
      <c r="C67" s="673"/>
      <c r="D67" s="673"/>
      <c r="E67" s="673"/>
      <c r="L67" s="11"/>
      <c r="M67" s="11"/>
    </row>
    <row r="68" spans="2:27" ht="15" customHeight="1" x14ac:dyDescent="0.25">
      <c r="B68" s="673"/>
      <c r="C68" s="673"/>
      <c r="D68" s="673"/>
      <c r="E68" s="673"/>
      <c r="L68" s="11"/>
      <c r="M68" s="11"/>
    </row>
    <row r="69" spans="2:27" x14ac:dyDescent="0.25">
      <c r="B69" s="49"/>
      <c r="M69" s="11"/>
    </row>
    <row r="70" spans="2:27" s="90" customFormat="1" ht="15.5" x14ac:dyDescent="0.35">
      <c r="B70" s="85" t="s">
        <v>244</v>
      </c>
      <c r="C70" s="100"/>
      <c r="D70" s="100"/>
      <c r="E70" s="100"/>
      <c r="F70" s="100"/>
      <c r="G70" s="100"/>
      <c r="H70" s="100"/>
      <c r="I70" s="100"/>
      <c r="J70" s="100"/>
      <c r="K70" s="100"/>
      <c r="L70" s="100"/>
      <c r="M70" s="100"/>
    </row>
    <row r="71" spans="2:27" ht="33.75" customHeight="1" x14ac:dyDescent="0.25">
      <c r="B71" s="684" t="s">
        <v>245</v>
      </c>
      <c r="C71" s="684"/>
      <c r="D71" s="684"/>
      <c r="E71" s="684"/>
      <c r="F71" s="684"/>
      <c r="G71" s="684"/>
      <c r="H71" s="684"/>
    </row>
    <row r="72" spans="2:27" s="4" customFormat="1" ht="13" x14ac:dyDescent="0.3">
      <c r="B72" s="542" t="s">
        <v>246</v>
      </c>
      <c r="C72" s="544">
        <f>B54</f>
        <v>0</v>
      </c>
      <c r="D72" s="545">
        <f>B55</f>
        <v>0</v>
      </c>
      <c r="E72" s="545">
        <f>B56</f>
        <v>0</v>
      </c>
      <c r="F72" s="545">
        <f>B57</f>
        <v>0</v>
      </c>
      <c r="G72" s="545">
        <f>B58</f>
        <v>0</v>
      </c>
      <c r="H72" s="545">
        <f>B59</f>
        <v>0</v>
      </c>
      <c r="I72" s="545">
        <f>B60</f>
        <v>0</v>
      </c>
      <c r="J72" s="545">
        <f>B61</f>
        <v>0</v>
      </c>
      <c r="K72" s="545">
        <f>B62</f>
        <v>0</v>
      </c>
      <c r="L72" s="545">
        <f>B63</f>
        <v>0</v>
      </c>
      <c r="M72" s="49"/>
    </row>
    <row r="73" spans="2:27" ht="13" x14ac:dyDescent="0.25">
      <c r="B73" s="531" t="str">
        <f t="shared" ref="B73:B85" si="2">B35</f>
        <v>-</v>
      </c>
      <c r="C73" s="392"/>
      <c r="D73" s="392"/>
      <c r="E73" s="392"/>
      <c r="F73" s="392"/>
      <c r="G73" s="392"/>
      <c r="H73" s="392"/>
      <c r="I73" s="392"/>
      <c r="J73" s="392"/>
      <c r="K73" s="392"/>
      <c r="L73" s="392"/>
    </row>
    <row r="74" spans="2:27" ht="13" x14ac:dyDescent="0.25">
      <c r="B74" s="531" t="str">
        <f t="shared" si="2"/>
        <v>-</v>
      </c>
      <c r="C74" s="392"/>
      <c r="D74" s="392"/>
      <c r="E74" s="392"/>
      <c r="F74" s="392"/>
      <c r="G74" s="392"/>
      <c r="H74" s="392"/>
      <c r="I74" s="392"/>
      <c r="J74" s="392"/>
      <c r="K74" s="392"/>
      <c r="L74" s="392"/>
    </row>
    <row r="75" spans="2:27" ht="13" x14ac:dyDescent="0.25">
      <c r="B75" s="531" t="str">
        <f t="shared" si="2"/>
        <v>-</v>
      </c>
      <c r="C75" s="392"/>
      <c r="D75" s="392"/>
      <c r="E75" s="392"/>
      <c r="F75" s="392"/>
      <c r="G75" s="392"/>
      <c r="H75" s="392"/>
      <c r="I75" s="392"/>
      <c r="J75" s="392"/>
      <c r="K75" s="392"/>
      <c r="L75" s="392"/>
    </row>
    <row r="76" spans="2:27" ht="13" x14ac:dyDescent="0.25">
      <c r="B76" s="531" t="str">
        <f t="shared" si="2"/>
        <v>-</v>
      </c>
      <c r="C76" s="392"/>
      <c r="D76" s="392"/>
      <c r="E76" s="392"/>
      <c r="F76" s="392"/>
      <c r="G76" s="392"/>
      <c r="H76" s="392"/>
      <c r="I76" s="392"/>
      <c r="J76" s="392"/>
      <c r="K76" s="392"/>
      <c r="L76" s="392"/>
    </row>
    <row r="77" spans="2:27" ht="13" x14ac:dyDescent="0.25">
      <c r="B77" s="531" t="str">
        <f t="shared" si="2"/>
        <v>-</v>
      </c>
      <c r="C77" s="392"/>
      <c r="D77" s="392"/>
      <c r="E77" s="392"/>
      <c r="F77" s="392"/>
      <c r="G77" s="392"/>
      <c r="H77" s="392"/>
      <c r="I77" s="392"/>
      <c r="J77" s="392"/>
      <c r="K77" s="392"/>
      <c r="L77" s="392"/>
    </row>
    <row r="78" spans="2:27" ht="13" x14ac:dyDescent="0.25">
      <c r="B78" s="531" t="str">
        <f t="shared" si="2"/>
        <v>-</v>
      </c>
      <c r="C78" s="392"/>
      <c r="D78" s="392"/>
      <c r="E78" s="392"/>
      <c r="F78" s="392"/>
      <c r="G78" s="392"/>
      <c r="H78" s="392"/>
      <c r="I78" s="392"/>
      <c r="J78" s="392"/>
      <c r="K78" s="392"/>
      <c r="L78" s="392"/>
    </row>
    <row r="79" spans="2:27" ht="13" x14ac:dyDescent="0.25">
      <c r="B79" s="531" t="str">
        <f t="shared" si="2"/>
        <v>-</v>
      </c>
      <c r="C79" s="392"/>
      <c r="D79" s="392"/>
      <c r="E79" s="392"/>
      <c r="F79" s="392"/>
      <c r="G79" s="392"/>
      <c r="H79" s="392"/>
      <c r="I79" s="392"/>
      <c r="J79" s="392"/>
      <c r="K79" s="392"/>
      <c r="L79" s="392"/>
    </row>
    <row r="80" spans="2:27" ht="13" x14ac:dyDescent="0.25">
      <c r="B80" s="531" t="str">
        <f t="shared" si="2"/>
        <v>-</v>
      </c>
      <c r="C80" s="392"/>
      <c r="D80" s="392"/>
      <c r="E80" s="392"/>
      <c r="F80" s="392"/>
      <c r="G80" s="392"/>
      <c r="H80" s="392"/>
      <c r="I80" s="392"/>
      <c r="J80" s="392"/>
      <c r="K80" s="392"/>
      <c r="L80" s="392"/>
    </row>
    <row r="81" spans="2:15" ht="13" x14ac:dyDescent="0.25">
      <c r="B81" s="531" t="str">
        <f t="shared" si="2"/>
        <v>-</v>
      </c>
      <c r="C81" s="392"/>
      <c r="D81" s="392"/>
      <c r="E81" s="392"/>
      <c r="F81" s="392"/>
      <c r="G81" s="392"/>
      <c r="H81" s="392"/>
      <c r="I81" s="392"/>
      <c r="J81" s="392"/>
      <c r="K81" s="392"/>
      <c r="L81" s="392"/>
    </row>
    <row r="82" spans="2:15" ht="13" x14ac:dyDescent="0.25">
      <c r="B82" s="531" t="str">
        <f t="shared" si="2"/>
        <v>-</v>
      </c>
      <c r="C82" s="392"/>
      <c r="D82" s="392"/>
      <c r="E82" s="392"/>
      <c r="F82" s="392"/>
      <c r="G82" s="392"/>
      <c r="H82" s="392"/>
      <c r="I82" s="392"/>
      <c r="J82" s="392"/>
      <c r="K82" s="392"/>
      <c r="L82" s="392"/>
    </row>
    <row r="83" spans="2:15" ht="13" x14ac:dyDescent="0.25">
      <c r="B83" s="531" t="str">
        <f t="shared" si="2"/>
        <v>-</v>
      </c>
      <c r="C83" s="392"/>
      <c r="D83" s="392"/>
      <c r="E83" s="392"/>
      <c r="F83" s="392"/>
      <c r="G83" s="392"/>
      <c r="H83" s="392"/>
      <c r="I83" s="392"/>
      <c r="J83" s="392"/>
      <c r="K83" s="392"/>
      <c r="L83" s="392"/>
    </row>
    <row r="84" spans="2:15" ht="13" x14ac:dyDescent="0.25">
      <c r="B84" s="531" t="str">
        <f t="shared" si="2"/>
        <v>-</v>
      </c>
      <c r="C84" s="392"/>
      <c r="D84" s="392"/>
      <c r="E84" s="392"/>
      <c r="F84" s="392"/>
      <c r="G84" s="392"/>
      <c r="H84" s="392"/>
      <c r="I84" s="392"/>
      <c r="J84" s="392"/>
      <c r="K84" s="392"/>
      <c r="L84" s="392"/>
      <c r="N84" s="49"/>
    </row>
    <row r="85" spans="2:15" ht="13" x14ac:dyDescent="0.25">
      <c r="B85" s="531" t="str">
        <f t="shared" si="2"/>
        <v>-</v>
      </c>
      <c r="C85" s="392"/>
      <c r="D85" s="392"/>
      <c r="E85" s="392"/>
      <c r="F85" s="392"/>
      <c r="G85" s="392"/>
      <c r="H85" s="392"/>
      <c r="I85" s="392"/>
      <c r="J85" s="392"/>
      <c r="K85" s="392"/>
      <c r="L85" s="392"/>
      <c r="N85" s="49"/>
    </row>
    <row r="86" spans="2:15" ht="13" x14ac:dyDescent="0.3">
      <c r="B86" s="546" t="s">
        <v>247</v>
      </c>
      <c r="C86" s="547">
        <f>IF(SUM(C73:C85)&gt;0,SUMPRODUCT(C73:C85, $G$35:$G$47)/$G$48,0)</f>
        <v>0</v>
      </c>
      <c r="D86" s="547">
        <f t="shared" ref="D86:L86" si="3">IF(SUM(D73:D85)&gt;0,SUMPRODUCT(D73:D85, $G$35:$G$47)/$G$48,0)</f>
        <v>0</v>
      </c>
      <c r="E86" s="547">
        <f t="shared" si="3"/>
        <v>0</v>
      </c>
      <c r="F86" s="547">
        <f t="shared" si="3"/>
        <v>0</v>
      </c>
      <c r="G86" s="547">
        <f t="shared" si="3"/>
        <v>0</v>
      </c>
      <c r="H86" s="547">
        <f t="shared" si="3"/>
        <v>0</v>
      </c>
      <c r="I86" s="547">
        <f t="shared" si="3"/>
        <v>0</v>
      </c>
      <c r="J86" s="547">
        <f t="shared" si="3"/>
        <v>0</v>
      </c>
      <c r="K86" s="547">
        <f t="shared" si="3"/>
        <v>0</v>
      </c>
      <c r="L86" s="547">
        <f t="shared" si="3"/>
        <v>0</v>
      </c>
      <c r="N86" s="49"/>
      <c r="O86" s="49"/>
    </row>
    <row r="87" spans="2:15" ht="13" x14ac:dyDescent="0.3">
      <c r="B87" s="3"/>
      <c r="N87" s="49"/>
      <c r="O87" s="49"/>
    </row>
    <row r="88" spans="2:15" x14ac:dyDescent="0.25">
      <c r="B88" s="673" t="s">
        <v>241</v>
      </c>
      <c r="C88" s="673"/>
      <c r="D88" s="673"/>
      <c r="E88" s="673"/>
      <c r="F88" s="6"/>
      <c r="N88" s="49"/>
      <c r="O88" s="49"/>
    </row>
    <row r="89" spans="2:15" x14ac:dyDescent="0.25">
      <c r="B89" s="673"/>
      <c r="C89" s="673"/>
      <c r="D89" s="673"/>
      <c r="E89" s="673"/>
      <c r="F89" s="6"/>
      <c r="N89" s="49"/>
      <c r="O89" s="49"/>
    </row>
    <row r="90" spans="2:15" x14ac:dyDescent="0.25">
      <c r="B90" s="673"/>
      <c r="C90" s="673"/>
      <c r="D90" s="673"/>
      <c r="E90" s="673"/>
      <c r="F90" s="6"/>
      <c r="N90" s="49"/>
      <c r="O90" s="49"/>
    </row>
    <row r="91" spans="2:15" x14ac:dyDescent="0.25">
      <c r="B91" s="673"/>
      <c r="C91" s="673"/>
      <c r="D91" s="673"/>
      <c r="E91" s="673"/>
      <c r="F91" s="6"/>
      <c r="N91" s="49"/>
      <c r="O91" s="49"/>
    </row>
    <row r="92" spans="2:15" x14ac:dyDescent="0.25">
      <c r="B92" s="673"/>
      <c r="C92" s="673"/>
      <c r="D92" s="673"/>
      <c r="E92" s="673"/>
      <c r="F92" s="6"/>
      <c r="N92" s="49"/>
    </row>
    <row r="93" spans="2:15" ht="12.75" customHeight="1" x14ac:dyDescent="0.3">
      <c r="B93" s="117"/>
      <c r="C93" s="24"/>
      <c r="D93" s="5"/>
    </row>
    <row r="94" spans="2:15" s="90" customFormat="1" ht="20.25" customHeight="1" x14ac:dyDescent="0.35">
      <c r="B94" s="85" t="s">
        <v>248</v>
      </c>
      <c r="C94" s="2"/>
      <c r="D94" s="2"/>
      <c r="E94" s="87"/>
      <c r="F94" s="87"/>
      <c r="H94" s="118"/>
      <c r="I94" s="119"/>
      <c r="J94" s="120"/>
      <c r="K94" s="100"/>
      <c r="L94" s="100"/>
      <c r="M94" s="100"/>
    </row>
    <row r="95" spans="2:15" ht="13" x14ac:dyDescent="0.3">
      <c r="B95" s="671"/>
      <c r="C95" s="671"/>
      <c r="D95" s="671"/>
      <c r="E95" s="8"/>
      <c r="F95" s="8"/>
      <c r="G95" s="11"/>
      <c r="H95" s="4"/>
      <c r="I95" s="121"/>
      <c r="J95" s="24"/>
    </row>
    <row r="96" spans="2:15" ht="28" x14ac:dyDescent="0.25">
      <c r="B96" s="548" t="s">
        <v>249</v>
      </c>
      <c r="C96" s="548" t="s">
        <v>250</v>
      </c>
      <c r="D96" s="548" t="s">
        <v>251</v>
      </c>
      <c r="E96" s="54"/>
      <c r="F96" s="673" t="s">
        <v>241</v>
      </c>
      <c r="G96" s="683"/>
      <c r="H96" s="683"/>
      <c r="I96" s="683"/>
      <c r="J96" s="24"/>
    </row>
    <row r="97" spans="2:13" ht="13" x14ac:dyDescent="0.25">
      <c r="B97" s="429">
        <f t="shared" ref="B97:B106" si="4">B54</f>
        <v>0</v>
      </c>
      <c r="C97" s="429">
        <f>IF(B97&gt;0, VLOOKUP($C$18, 'XIV. References'!$B$29:$L$79, MATCH('III. INPUT-Baseline'!B97, 'XIV. References'!$B$29:$L$29, 0), FALSE), 0)</f>
        <v>0</v>
      </c>
      <c r="D97" s="549">
        <f t="shared" ref="D97:D106" si="5">C97*C54/1000</f>
        <v>0</v>
      </c>
      <c r="E97" s="54"/>
      <c r="F97" s="683"/>
      <c r="G97" s="683"/>
      <c r="H97" s="683"/>
      <c r="I97" s="683"/>
      <c r="J97" s="24"/>
    </row>
    <row r="98" spans="2:13" ht="13" x14ac:dyDescent="0.25">
      <c r="B98" s="429">
        <f t="shared" si="4"/>
        <v>0</v>
      </c>
      <c r="C98" s="429">
        <f>IF(B98&gt;0, VLOOKUP($C$18, 'XIV. References'!$B$29:$L$79, MATCH('III. INPUT-Baseline'!B98, 'XIV. References'!$B$29:$L$29, 0), FALSE), 0)</f>
        <v>0</v>
      </c>
      <c r="D98" s="549">
        <f t="shared" si="5"/>
        <v>0</v>
      </c>
      <c r="E98" s="54"/>
      <c r="F98" s="683"/>
      <c r="G98" s="683"/>
      <c r="H98" s="683"/>
      <c r="I98" s="683"/>
      <c r="J98" s="24"/>
    </row>
    <row r="99" spans="2:13" ht="13" x14ac:dyDescent="0.25">
      <c r="B99" s="429">
        <f t="shared" si="4"/>
        <v>0</v>
      </c>
      <c r="C99" s="429">
        <f>IF(B99&gt;0, VLOOKUP($C$18, 'XIV. References'!$B$29:$L$79, MATCH('III. INPUT-Baseline'!B99, 'XIV. References'!$B$29:$L$29, 0), FALSE), 0)</f>
        <v>0</v>
      </c>
      <c r="D99" s="549">
        <f t="shared" si="5"/>
        <v>0</v>
      </c>
      <c r="E99" s="54"/>
      <c r="F99" s="683"/>
      <c r="G99" s="683"/>
      <c r="H99" s="683"/>
      <c r="I99" s="683"/>
      <c r="J99" s="24"/>
    </row>
    <row r="100" spans="2:13" ht="13" x14ac:dyDescent="0.25">
      <c r="B100" s="429">
        <f t="shared" si="4"/>
        <v>0</v>
      </c>
      <c r="C100" s="429">
        <f>IF(B100&gt;0, VLOOKUP($C$18, 'XIV. References'!$B$29:$L$79, MATCH('III. INPUT-Baseline'!B100, 'XIV. References'!$B$29:$L$29, 0), FALSE), 0)</f>
        <v>0</v>
      </c>
      <c r="D100" s="549">
        <f t="shared" si="5"/>
        <v>0</v>
      </c>
      <c r="E100" s="54"/>
      <c r="F100" s="683"/>
      <c r="G100" s="683"/>
      <c r="H100" s="683"/>
      <c r="I100" s="683"/>
      <c r="J100" s="24"/>
    </row>
    <row r="101" spans="2:13" ht="13" x14ac:dyDescent="0.25">
      <c r="B101" s="429">
        <f t="shared" si="4"/>
        <v>0</v>
      </c>
      <c r="C101" s="429">
        <f>IF(B101&gt;0, VLOOKUP($C$18, 'XIV. References'!$B$29:$L$79, MATCH('III. INPUT-Baseline'!B101, 'XIV. References'!$B$29:$L$29, 0), FALSE), 0)</f>
        <v>0</v>
      </c>
      <c r="D101" s="549">
        <f t="shared" si="5"/>
        <v>0</v>
      </c>
      <c r="E101" s="54"/>
      <c r="F101" s="683"/>
      <c r="G101" s="683"/>
      <c r="H101" s="683"/>
      <c r="I101" s="683"/>
    </row>
    <row r="102" spans="2:13" ht="13" x14ac:dyDescent="0.25">
      <c r="B102" s="429">
        <f t="shared" si="4"/>
        <v>0</v>
      </c>
      <c r="C102" s="429">
        <f>IF(B102&gt;0, VLOOKUP($C$18, 'XIV. References'!$B$29:$L$79, MATCH('III. INPUT-Baseline'!B102, 'XIV. References'!$B$29:$L$29, 0), FALSE), 0)</f>
        <v>0</v>
      </c>
      <c r="D102" s="549">
        <f t="shared" si="5"/>
        <v>0</v>
      </c>
      <c r="E102" s="54"/>
      <c r="F102" s="683"/>
      <c r="G102" s="683"/>
      <c r="H102" s="683"/>
      <c r="I102" s="683"/>
    </row>
    <row r="103" spans="2:13" ht="13" x14ac:dyDescent="0.25">
      <c r="B103" s="429">
        <f t="shared" si="4"/>
        <v>0</v>
      </c>
      <c r="C103" s="429">
        <f>IF(B103&gt;0, VLOOKUP($C$18, 'XIV. References'!$B$29:$L$79, MATCH('III. INPUT-Baseline'!B103, 'XIV. References'!$B$29:$L$29, 0), FALSE), 0)</f>
        <v>0</v>
      </c>
      <c r="D103" s="549">
        <f t="shared" si="5"/>
        <v>0</v>
      </c>
      <c r="E103" s="54"/>
      <c r="F103" s="683"/>
      <c r="G103" s="683"/>
      <c r="H103" s="683"/>
      <c r="I103" s="683"/>
    </row>
    <row r="104" spans="2:13" s="49" customFormat="1" ht="13" x14ac:dyDescent="0.25">
      <c r="B104" s="429">
        <f t="shared" si="4"/>
        <v>0</v>
      </c>
      <c r="C104" s="429">
        <f>IF(B104&gt;0, VLOOKUP($C$18, 'XIV. References'!$B$29:$L$79, MATCH('III. INPUT-Baseline'!B104, 'XIV. References'!$B$29:$L$29, 0), FALSE), 0)</f>
        <v>0</v>
      </c>
      <c r="D104" s="549">
        <f t="shared" si="5"/>
        <v>0</v>
      </c>
      <c r="E104" s="54"/>
      <c r="F104" s="683"/>
      <c r="G104" s="683"/>
      <c r="H104" s="683"/>
      <c r="I104" s="683"/>
    </row>
    <row r="105" spans="2:13" ht="13" x14ac:dyDescent="0.25">
      <c r="B105" s="429">
        <f t="shared" si="4"/>
        <v>0</v>
      </c>
      <c r="C105" s="429">
        <f>IF(B105&gt;0, VLOOKUP($C$18, 'XIV. References'!$B$29:$L$79, MATCH('III. INPUT-Baseline'!B105, 'XIV. References'!$B$29:$L$29, 0), FALSE), 0)</f>
        <v>0</v>
      </c>
      <c r="D105" s="549">
        <f t="shared" si="5"/>
        <v>0</v>
      </c>
      <c r="E105" s="54"/>
      <c r="F105" s="683"/>
      <c r="G105" s="683"/>
      <c r="H105" s="683"/>
      <c r="I105" s="683"/>
    </row>
    <row r="106" spans="2:13" ht="13" x14ac:dyDescent="0.25">
      <c r="B106" s="429">
        <f t="shared" si="4"/>
        <v>0</v>
      </c>
      <c r="C106" s="429">
        <f>IF(B106&gt;0, VLOOKUP($C$18, 'XIV. References'!$B$29:$L$79, MATCH('III. INPUT-Baseline'!B106, 'XIV. References'!$B$29:$L$29, 0), FALSE), 0)</f>
        <v>0</v>
      </c>
      <c r="D106" s="549">
        <f t="shared" si="5"/>
        <v>0</v>
      </c>
      <c r="E106" s="11"/>
      <c r="F106" s="683"/>
      <c r="G106" s="683"/>
      <c r="H106" s="683"/>
      <c r="I106" s="683"/>
    </row>
    <row r="107" spans="2:13" x14ac:dyDescent="0.25">
      <c r="C107" s="11"/>
      <c r="D107" s="11"/>
      <c r="E107" s="11"/>
      <c r="F107" s="11"/>
      <c r="G107" s="11"/>
      <c r="H107" s="11"/>
    </row>
    <row r="108" spans="2:13" s="90" customFormat="1" ht="15.5" x14ac:dyDescent="0.35">
      <c r="B108" s="85" t="s">
        <v>252</v>
      </c>
      <c r="C108" s="122"/>
      <c r="I108" s="100"/>
      <c r="J108" s="100"/>
      <c r="K108" s="100"/>
      <c r="L108" s="100"/>
      <c r="M108" s="100"/>
    </row>
    <row r="109" spans="2:13" x14ac:dyDescent="0.25">
      <c r="B109" s="684"/>
      <c r="C109" s="684"/>
      <c r="D109" s="34"/>
      <c r="E109" s="11"/>
      <c r="F109" s="673" t="s">
        <v>241</v>
      </c>
      <c r="G109" s="683"/>
      <c r="H109" s="683"/>
      <c r="I109" s="683"/>
    </row>
    <row r="110" spans="2:13" ht="31" x14ac:dyDescent="0.4">
      <c r="B110" s="136" t="s">
        <v>249</v>
      </c>
      <c r="C110" s="535" t="s">
        <v>253</v>
      </c>
      <c r="F110" s="683"/>
      <c r="G110" s="683"/>
      <c r="H110" s="683"/>
      <c r="I110" s="683"/>
    </row>
    <row r="111" spans="2:13" ht="13" x14ac:dyDescent="0.3">
      <c r="B111" s="544">
        <f>'III. INPUT-Baseline'!B54</f>
        <v>0</v>
      </c>
      <c r="C111" s="545">
        <f>IF(B111=0,0,VLOOKUP(B111, 'XIV. References'!$B$9:$D$20, 3, FALSE))</f>
        <v>0</v>
      </c>
      <c r="D111" s="11"/>
      <c r="F111" s="683"/>
      <c r="G111" s="683"/>
      <c r="H111" s="683"/>
      <c r="I111" s="683"/>
    </row>
    <row r="112" spans="2:13" ht="13" x14ac:dyDescent="0.3">
      <c r="B112" s="544">
        <f>'III. INPUT-Baseline'!B55</f>
        <v>0</v>
      </c>
      <c r="C112" s="545">
        <f>IF(B112=0,0,VLOOKUP(B112, 'XIV. References'!$B$9:$D$20, 3, FALSE))</f>
        <v>0</v>
      </c>
      <c r="D112" s="11"/>
      <c r="F112" s="683"/>
      <c r="G112" s="683"/>
      <c r="H112" s="683"/>
      <c r="I112" s="683"/>
    </row>
    <row r="113" spans="1:14" ht="13" x14ac:dyDescent="0.3">
      <c r="B113" s="544">
        <f>'III. INPUT-Baseline'!B56</f>
        <v>0</v>
      </c>
      <c r="C113" s="545">
        <f>IF(B113=0,0,VLOOKUP(B113, 'XIV. References'!$B$9:$D$20, 3, FALSE))</f>
        <v>0</v>
      </c>
      <c r="D113" s="11"/>
      <c r="F113" s="683"/>
      <c r="G113" s="683"/>
      <c r="H113" s="683"/>
      <c r="I113" s="683"/>
    </row>
    <row r="114" spans="1:14" ht="13" x14ac:dyDescent="0.3">
      <c r="B114" s="544">
        <f>'III. INPUT-Baseline'!B57</f>
        <v>0</v>
      </c>
      <c r="C114" s="545">
        <f>IF(B114=0,0,VLOOKUP(B114, 'XIV. References'!$B$9:$D$20, 3, FALSE))</f>
        <v>0</v>
      </c>
      <c r="D114" s="11"/>
      <c r="F114" s="683"/>
      <c r="G114" s="683"/>
      <c r="H114" s="683"/>
      <c r="I114" s="683"/>
    </row>
    <row r="115" spans="1:14" ht="13" x14ac:dyDescent="0.3">
      <c r="B115" s="544">
        <f>'III. INPUT-Baseline'!B58</f>
        <v>0</v>
      </c>
      <c r="C115" s="545">
        <f>IF(B115=0,0,VLOOKUP(B115, 'XIV. References'!$B$9:$D$20, 3, FALSE))</f>
        <v>0</v>
      </c>
      <c r="D115" s="11"/>
      <c r="F115" s="683"/>
      <c r="G115" s="683"/>
      <c r="H115" s="683"/>
      <c r="I115" s="683"/>
    </row>
    <row r="116" spans="1:14" ht="13" x14ac:dyDescent="0.3">
      <c r="A116" s="49"/>
      <c r="B116" s="544">
        <f>'III. INPUT-Baseline'!B59</f>
        <v>0</v>
      </c>
      <c r="C116" s="545">
        <f>IF(B116=0,0,VLOOKUP(B116, 'XIV. References'!$B$9:$D$20, 3, FALSE))</f>
        <v>0</v>
      </c>
      <c r="D116" s="11"/>
      <c r="F116" s="683"/>
      <c r="G116" s="683"/>
      <c r="H116" s="683"/>
      <c r="I116" s="683"/>
    </row>
    <row r="117" spans="1:14" ht="13" x14ac:dyDescent="0.3">
      <c r="B117" s="544">
        <f>'III. INPUT-Baseline'!B60</f>
        <v>0</v>
      </c>
      <c r="C117" s="545">
        <f>IF(B117=0,0,VLOOKUP(B117, 'XIV. References'!$B$9:$D$20, 3, FALSE))</f>
        <v>0</v>
      </c>
      <c r="D117" s="11"/>
      <c r="F117" s="683"/>
      <c r="G117" s="683"/>
      <c r="H117" s="683"/>
      <c r="I117" s="683"/>
    </row>
    <row r="118" spans="1:14" ht="13" x14ac:dyDescent="0.3">
      <c r="B118" s="544">
        <f>'III. INPUT-Baseline'!B61</f>
        <v>0</v>
      </c>
      <c r="C118" s="545">
        <f>IF(B118=0,0,VLOOKUP(B118, 'XIV. References'!$B$9:$D$20, 3, FALSE))</f>
        <v>0</v>
      </c>
      <c r="D118" s="11"/>
      <c r="F118" s="683"/>
      <c r="G118" s="683"/>
      <c r="H118" s="683"/>
      <c r="I118" s="683"/>
    </row>
    <row r="119" spans="1:14" ht="13" x14ac:dyDescent="0.3">
      <c r="B119" s="544">
        <f>'III. INPUT-Baseline'!B62</f>
        <v>0</v>
      </c>
      <c r="C119" s="545">
        <f>IF(B119=0,0,VLOOKUP(B119, 'XIV. References'!$B$9:$D$20, 3, FALSE))</f>
        <v>0</v>
      </c>
      <c r="D119" s="11"/>
      <c r="F119" s="683"/>
      <c r="G119" s="683"/>
      <c r="H119" s="683"/>
      <c r="I119" s="683"/>
    </row>
    <row r="120" spans="1:14" ht="13" x14ac:dyDescent="0.3">
      <c r="B120" s="544">
        <f>'III. INPUT-Baseline'!B63</f>
        <v>0</v>
      </c>
      <c r="C120" s="545">
        <f>IF(B120=0,0,VLOOKUP(B120, 'XIV. References'!$B$9:$D$20, 3, FALSE))</f>
        <v>0</v>
      </c>
      <c r="D120" s="11"/>
      <c r="F120" s="683"/>
      <c r="G120" s="683"/>
      <c r="H120" s="683"/>
      <c r="I120" s="683"/>
    </row>
    <row r="121" spans="1:14" x14ac:dyDescent="0.25">
      <c r="E121" s="11"/>
      <c r="F121" s="11"/>
      <c r="G121" s="11"/>
      <c r="H121" s="11"/>
    </row>
    <row r="122" spans="1:14" s="90" customFormat="1" ht="15.5" x14ac:dyDescent="0.35">
      <c r="B122" s="85" t="s">
        <v>254</v>
      </c>
      <c r="C122" s="100"/>
      <c r="D122" s="100"/>
      <c r="I122" s="100"/>
      <c r="J122" s="100"/>
      <c r="K122" s="100"/>
      <c r="L122" s="100"/>
      <c r="M122" s="100"/>
    </row>
    <row r="123" spans="1:14" ht="28.5" customHeight="1" thickBot="1" x14ac:dyDescent="0.3">
      <c r="B123" s="671" t="s">
        <v>255</v>
      </c>
      <c r="C123" s="671"/>
      <c r="D123" s="671"/>
      <c r="E123" s="671"/>
      <c r="F123" s="671"/>
      <c r="G123" s="11"/>
      <c r="H123" s="673" t="s">
        <v>241</v>
      </c>
      <c r="I123" s="673"/>
      <c r="J123" s="673"/>
    </row>
    <row r="124" spans="1:14" ht="26.5" thickBot="1" x14ac:dyDescent="0.35">
      <c r="B124" s="542" t="s">
        <v>256</v>
      </c>
      <c r="C124" s="548" t="s">
        <v>257</v>
      </c>
      <c r="D124" s="150"/>
      <c r="E124" s="686" t="s">
        <v>258</v>
      </c>
      <c r="F124" s="687"/>
      <c r="H124" s="673"/>
      <c r="I124" s="673"/>
      <c r="J124" s="673"/>
      <c r="N124" s="49"/>
    </row>
    <row r="125" spans="1:14" ht="13.5" thickBot="1" x14ac:dyDescent="0.3">
      <c r="B125" s="550" t="s">
        <v>259</v>
      </c>
      <c r="C125" s="543"/>
      <c r="D125" s="123"/>
      <c r="E125" s="124" t="s">
        <v>260</v>
      </c>
      <c r="F125" s="124" t="s">
        <v>261</v>
      </c>
      <c r="G125" s="5"/>
      <c r="H125" s="673"/>
      <c r="I125" s="673"/>
      <c r="J125" s="673"/>
      <c r="N125" s="49"/>
    </row>
    <row r="126" spans="1:14" x14ac:dyDescent="0.25">
      <c r="B126" s="551"/>
      <c r="C126" s="543"/>
      <c r="D126" s="123"/>
      <c r="E126" s="125" t="s">
        <v>259</v>
      </c>
      <c r="F126" s="389" t="s">
        <v>262</v>
      </c>
      <c r="G126" s="5"/>
      <c r="H126" s="673"/>
      <c r="I126" s="673"/>
      <c r="J126" s="673"/>
      <c r="N126" s="49"/>
    </row>
    <row r="127" spans="1:14" x14ac:dyDescent="0.25">
      <c r="B127" s="54"/>
      <c r="C127" s="543"/>
      <c r="D127" s="123"/>
      <c r="E127" s="126" t="s">
        <v>263</v>
      </c>
      <c r="F127" s="386" t="s">
        <v>264</v>
      </c>
      <c r="G127" s="5"/>
      <c r="H127" s="673"/>
      <c r="I127" s="673"/>
      <c r="J127" s="673"/>
      <c r="N127" s="49"/>
    </row>
    <row r="128" spans="1:14" x14ac:dyDescent="0.25">
      <c r="B128" s="54"/>
      <c r="C128" s="543"/>
      <c r="D128" s="123"/>
      <c r="E128" s="126" t="s">
        <v>265</v>
      </c>
      <c r="F128" s="386" t="s">
        <v>266</v>
      </c>
      <c r="G128" s="5"/>
      <c r="H128" s="673"/>
      <c r="I128" s="673"/>
      <c r="J128" s="673"/>
      <c r="N128" s="49"/>
    </row>
    <row r="129" spans="2:18" x14ac:dyDescent="0.25">
      <c r="B129" s="54"/>
      <c r="C129" s="543"/>
      <c r="D129" s="123"/>
      <c r="E129" s="390"/>
      <c r="F129" s="386" t="s">
        <v>267</v>
      </c>
      <c r="G129" s="5"/>
      <c r="H129" s="673"/>
      <c r="I129" s="673"/>
      <c r="J129" s="673"/>
      <c r="N129" s="49"/>
    </row>
    <row r="130" spans="2:18" ht="25" x14ac:dyDescent="0.25">
      <c r="B130" s="54"/>
      <c r="C130" s="543"/>
      <c r="D130" s="123"/>
      <c r="E130" s="390"/>
      <c r="F130" s="386" t="s">
        <v>268</v>
      </c>
      <c r="G130" s="5"/>
      <c r="H130" s="673"/>
      <c r="I130" s="673"/>
      <c r="J130" s="673"/>
      <c r="N130" s="49"/>
    </row>
    <row r="131" spans="2:18" ht="25" x14ac:dyDescent="0.25">
      <c r="B131" s="54"/>
      <c r="C131" s="543"/>
      <c r="D131" s="123"/>
      <c r="E131" s="390"/>
      <c r="F131" s="387" t="s">
        <v>269</v>
      </c>
      <c r="H131" s="673"/>
      <c r="I131" s="673"/>
      <c r="J131" s="673"/>
      <c r="N131" s="49"/>
    </row>
    <row r="132" spans="2:18" ht="25" x14ac:dyDescent="0.25">
      <c r="B132" s="54"/>
      <c r="C132" s="543"/>
      <c r="D132" s="123"/>
      <c r="E132" s="390"/>
      <c r="F132" s="386" t="s">
        <v>270</v>
      </c>
      <c r="G132" s="5"/>
      <c r="H132" s="673"/>
      <c r="I132" s="673"/>
      <c r="J132" s="673"/>
      <c r="N132" s="49"/>
    </row>
    <row r="133" spans="2:18" ht="25" x14ac:dyDescent="0.25">
      <c r="B133" s="54"/>
      <c r="C133" s="543"/>
      <c r="D133" s="123"/>
      <c r="E133" s="390"/>
      <c r="F133" s="386" t="s">
        <v>271</v>
      </c>
      <c r="G133" s="5"/>
      <c r="H133" s="673"/>
      <c r="I133" s="673"/>
      <c r="J133" s="673"/>
      <c r="N133" s="49"/>
    </row>
    <row r="134" spans="2:18" x14ac:dyDescent="0.25">
      <c r="B134" s="54"/>
      <c r="C134" s="543"/>
      <c r="D134" s="123"/>
      <c r="E134" s="390"/>
      <c r="F134" s="386" t="s">
        <v>272</v>
      </c>
      <c r="G134" s="5"/>
      <c r="H134" s="673"/>
      <c r="I134" s="673"/>
      <c r="J134" s="673"/>
      <c r="N134" s="49"/>
    </row>
    <row r="135" spans="2:18" ht="25" x14ac:dyDescent="0.25">
      <c r="B135" s="54"/>
      <c r="C135" s="543"/>
      <c r="D135" s="123"/>
      <c r="E135" s="390"/>
      <c r="F135" s="386" t="s">
        <v>273</v>
      </c>
      <c r="G135" s="5"/>
      <c r="H135" s="673"/>
      <c r="I135" s="673"/>
      <c r="J135" s="673"/>
      <c r="N135" s="49"/>
    </row>
    <row r="136" spans="2:18" x14ac:dyDescent="0.25">
      <c r="B136" s="54"/>
      <c r="C136" s="54"/>
      <c r="D136" s="54"/>
      <c r="E136" s="390"/>
      <c r="F136" s="386" t="s">
        <v>274</v>
      </c>
      <c r="G136" s="11"/>
      <c r="H136" s="8"/>
      <c r="I136" s="8"/>
      <c r="J136" s="8"/>
      <c r="N136" s="49"/>
    </row>
    <row r="137" spans="2:18" ht="13" thickBot="1" x14ac:dyDescent="0.3">
      <c r="B137" s="54"/>
      <c r="C137" s="54"/>
      <c r="D137" s="54"/>
      <c r="E137" s="391"/>
      <c r="F137" s="388" t="s">
        <v>275</v>
      </c>
      <c r="G137" s="11"/>
      <c r="H137" s="8"/>
      <c r="I137" s="8"/>
      <c r="J137" s="8"/>
      <c r="N137" s="49"/>
    </row>
    <row r="138" spans="2:18" x14ac:dyDescent="0.25">
      <c r="B138" s="54"/>
      <c r="C138" s="54"/>
      <c r="D138" s="34"/>
      <c r="E138" s="128"/>
      <c r="F138" s="11"/>
      <c r="G138" s="8"/>
      <c r="H138" s="8"/>
      <c r="I138" s="8"/>
    </row>
    <row r="139" spans="2:18" s="90" customFormat="1" ht="15.5" x14ac:dyDescent="0.25">
      <c r="B139" s="88" t="s">
        <v>276</v>
      </c>
      <c r="C139" s="89"/>
      <c r="E139" s="100"/>
      <c r="J139" s="100"/>
      <c r="K139" s="100"/>
      <c r="L139" s="100"/>
      <c r="M139" s="100"/>
    </row>
    <row r="140" spans="2:18" ht="24" customHeight="1" x14ac:dyDescent="0.25">
      <c r="B140" s="129" t="s">
        <v>277</v>
      </c>
      <c r="C140" s="54"/>
      <c r="D140" s="11"/>
      <c r="E140" s="11"/>
      <c r="F140" s="11"/>
      <c r="G140" s="11"/>
      <c r="H140" s="11"/>
      <c r="R140" s="130"/>
    </row>
    <row r="141" spans="2:18" ht="39" x14ac:dyDescent="0.3">
      <c r="B141" s="535" t="s">
        <v>256</v>
      </c>
      <c r="C141" s="535" t="s">
        <v>278</v>
      </c>
      <c r="D141" s="535" t="s">
        <v>279</v>
      </c>
      <c r="E141" s="535" t="s">
        <v>280</v>
      </c>
      <c r="F141" s="535" t="s">
        <v>281</v>
      </c>
      <c r="G141" s="535" t="s">
        <v>282</v>
      </c>
      <c r="H141" s="11"/>
      <c r="I141" s="11"/>
      <c r="N141" s="49"/>
      <c r="R141" s="130"/>
    </row>
    <row r="142" spans="2:18" ht="13" x14ac:dyDescent="0.25">
      <c r="B142" s="552" t="str">
        <f>B125</f>
        <v>Uncovered anaerobic lagoon</v>
      </c>
      <c r="C142" s="551" t="s">
        <v>283</v>
      </c>
      <c r="D142" s="33"/>
      <c r="E142" s="33"/>
      <c r="F142" s="33"/>
      <c r="G142" s="33"/>
      <c r="H142" s="11"/>
      <c r="I142" s="11"/>
      <c r="N142" s="49"/>
    </row>
    <row r="143" spans="2:18" ht="13" x14ac:dyDescent="0.25">
      <c r="B143" s="552">
        <f>B126</f>
        <v>0</v>
      </c>
      <c r="C143" s="551" t="s">
        <v>284</v>
      </c>
      <c r="D143" s="33"/>
      <c r="E143" s="33"/>
      <c r="F143" s="33"/>
      <c r="G143" s="33"/>
      <c r="H143" s="11"/>
      <c r="I143" s="11"/>
      <c r="N143" s="49"/>
    </row>
    <row r="144" spans="2:18" ht="13" x14ac:dyDescent="0.3">
      <c r="B144" s="3"/>
      <c r="C144" s="54"/>
      <c r="D144" s="11"/>
      <c r="E144" s="11"/>
      <c r="F144" s="11"/>
    </row>
    <row r="145" spans="2:13" x14ac:dyDescent="0.25">
      <c r="C145" s="54"/>
      <c r="E145" s="11"/>
      <c r="F145" s="11"/>
    </row>
    <row r="146" spans="2:13" s="90" customFormat="1" ht="27" customHeight="1" x14ac:dyDescent="0.25">
      <c r="B146" s="360" t="s">
        <v>285</v>
      </c>
      <c r="C146" s="100"/>
      <c r="D146" s="100"/>
      <c r="F146" s="89"/>
      <c r="G146" s="100"/>
      <c r="H146" s="100"/>
      <c r="I146" s="100"/>
      <c r="J146" s="100"/>
      <c r="K146" s="100"/>
      <c r="L146" s="100"/>
      <c r="M146" s="100"/>
    </row>
    <row r="147" spans="2:13" ht="67.5" customHeight="1" x14ac:dyDescent="0.25">
      <c r="B147" s="671" t="s">
        <v>286</v>
      </c>
      <c r="C147" s="671"/>
      <c r="D147" s="671"/>
      <c r="F147" s="131"/>
      <c r="M147" s="11"/>
    </row>
    <row r="148" spans="2:13" ht="30.75" customHeight="1" x14ac:dyDescent="0.25">
      <c r="B148" s="548" t="s">
        <v>257</v>
      </c>
      <c r="C148" s="548" t="s">
        <v>287</v>
      </c>
      <c r="E148" s="673" t="s">
        <v>241</v>
      </c>
      <c r="F148" s="673"/>
      <c r="G148" s="673"/>
      <c r="H148" s="673"/>
      <c r="M148" s="11"/>
    </row>
    <row r="149" spans="2:13" ht="13" x14ac:dyDescent="0.25">
      <c r="B149" s="429">
        <f t="shared" ref="B149:B159" si="6">C125</f>
        <v>0</v>
      </c>
      <c r="C149" s="553">
        <v>0</v>
      </c>
      <c r="E149" s="673"/>
      <c r="F149" s="673"/>
      <c r="G149" s="673"/>
      <c r="H149" s="673"/>
      <c r="M149" s="11"/>
    </row>
    <row r="150" spans="2:13" ht="13" x14ac:dyDescent="0.25">
      <c r="B150" s="429">
        <f t="shared" si="6"/>
        <v>0</v>
      </c>
      <c r="C150" s="553">
        <v>0</v>
      </c>
      <c r="E150" s="673"/>
      <c r="F150" s="673"/>
      <c r="G150" s="673"/>
      <c r="H150" s="673"/>
      <c r="M150" s="11"/>
    </row>
    <row r="151" spans="2:13" ht="13" x14ac:dyDescent="0.25">
      <c r="B151" s="429">
        <f t="shared" si="6"/>
        <v>0</v>
      </c>
      <c r="C151" s="553">
        <v>0</v>
      </c>
      <c r="E151" s="673"/>
      <c r="F151" s="673"/>
      <c r="G151" s="673"/>
      <c r="H151" s="673"/>
      <c r="M151" s="11"/>
    </row>
    <row r="152" spans="2:13" ht="13" x14ac:dyDescent="0.25">
      <c r="B152" s="429">
        <f t="shared" si="6"/>
        <v>0</v>
      </c>
      <c r="C152" s="553">
        <v>0</v>
      </c>
      <c r="E152" s="673"/>
      <c r="F152" s="673"/>
      <c r="G152" s="673"/>
      <c r="H152" s="673"/>
      <c r="M152" s="11"/>
    </row>
    <row r="153" spans="2:13" ht="13" x14ac:dyDescent="0.25">
      <c r="B153" s="429">
        <f t="shared" si="6"/>
        <v>0</v>
      </c>
      <c r="C153" s="553">
        <v>0</v>
      </c>
      <c r="E153" s="673"/>
      <c r="F153" s="673"/>
      <c r="G153" s="673"/>
      <c r="H153" s="673"/>
      <c r="M153" s="11"/>
    </row>
    <row r="154" spans="2:13" s="49" customFormat="1" ht="13" x14ac:dyDescent="0.25">
      <c r="B154" s="429">
        <f t="shared" si="6"/>
        <v>0</v>
      </c>
      <c r="C154" s="553">
        <v>0</v>
      </c>
      <c r="E154" s="673"/>
      <c r="F154" s="673"/>
      <c r="G154" s="673"/>
      <c r="H154" s="673"/>
      <c r="M154" s="11"/>
    </row>
    <row r="155" spans="2:13" ht="13" x14ac:dyDescent="0.25">
      <c r="B155" s="429">
        <f t="shared" si="6"/>
        <v>0</v>
      </c>
      <c r="C155" s="553">
        <v>0</v>
      </c>
      <c r="E155" s="673"/>
      <c r="F155" s="673"/>
      <c r="G155" s="673"/>
      <c r="H155" s="673"/>
      <c r="M155" s="11"/>
    </row>
    <row r="156" spans="2:13" ht="13" x14ac:dyDescent="0.25">
      <c r="B156" s="429">
        <f t="shared" si="6"/>
        <v>0</v>
      </c>
      <c r="C156" s="553">
        <v>0</v>
      </c>
      <c r="E156" s="673"/>
      <c r="F156" s="673"/>
      <c r="G156" s="673"/>
      <c r="H156" s="673"/>
      <c r="M156" s="11"/>
    </row>
    <row r="157" spans="2:13" ht="13" x14ac:dyDescent="0.25">
      <c r="B157" s="429">
        <f t="shared" si="6"/>
        <v>0</v>
      </c>
      <c r="C157" s="553">
        <v>0</v>
      </c>
      <c r="E157" s="673"/>
      <c r="F157" s="673"/>
      <c r="G157" s="673"/>
      <c r="H157" s="673"/>
      <c r="M157" s="11"/>
    </row>
    <row r="158" spans="2:13" ht="13" x14ac:dyDescent="0.25">
      <c r="B158" s="429">
        <f t="shared" si="6"/>
        <v>0</v>
      </c>
      <c r="C158" s="553">
        <v>0</v>
      </c>
      <c r="E158" s="673"/>
      <c r="F158" s="673"/>
      <c r="G158" s="673"/>
      <c r="H158" s="673"/>
      <c r="M158" s="11"/>
    </row>
    <row r="159" spans="2:13" ht="13" x14ac:dyDescent="0.25">
      <c r="B159" s="429">
        <f t="shared" si="6"/>
        <v>0</v>
      </c>
      <c r="C159" s="553">
        <v>0</v>
      </c>
      <c r="E159" s="673"/>
      <c r="F159" s="673"/>
      <c r="G159" s="673"/>
      <c r="H159" s="673"/>
      <c r="M159" s="11"/>
    </row>
    <row r="160" spans="2:13" x14ac:dyDescent="0.25">
      <c r="C160" s="54"/>
      <c r="M160" s="11"/>
    </row>
    <row r="161" spans="2:15" ht="13" x14ac:dyDescent="0.25">
      <c r="B161" s="689"/>
      <c r="C161" s="689"/>
      <c r="D161" s="689"/>
      <c r="M161" s="11"/>
    </row>
    <row r="162" spans="2:15" s="90" customFormat="1" ht="29.25" customHeight="1" x14ac:dyDescent="0.25">
      <c r="B162" s="360" t="s">
        <v>288</v>
      </c>
      <c r="C162" s="89"/>
      <c r="D162" s="89"/>
      <c r="I162" s="100"/>
      <c r="J162" s="100"/>
      <c r="K162" s="100"/>
      <c r="L162" s="100"/>
    </row>
    <row r="163" spans="2:15" x14ac:dyDescent="0.25">
      <c r="B163" s="685"/>
      <c r="C163" s="685"/>
      <c r="D163" s="685"/>
      <c r="E163" s="685"/>
      <c r="F163" s="11"/>
      <c r="G163" s="11"/>
      <c r="H163" s="11"/>
      <c r="M163" s="56"/>
    </row>
    <row r="164" spans="2:15" ht="13" x14ac:dyDescent="0.25">
      <c r="B164" s="542" t="s">
        <v>289</v>
      </c>
      <c r="C164" s="429">
        <f>B54</f>
        <v>0</v>
      </c>
      <c r="D164" s="429">
        <f>B55</f>
        <v>0</v>
      </c>
      <c r="E164" s="429">
        <f t="shared" ref="E164:L164" si="7">E72</f>
        <v>0</v>
      </c>
      <c r="F164" s="429">
        <f t="shared" si="7"/>
        <v>0</v>
      </c>
      <c r="G164" s="429">
        <f t="shared" si="7"/>
        <v>0</v>
      </c>
      <c r="H164" s="429">
        <f t="shared" si="7"/>
        <v>0</v>
      </c>
      <c r="I164" s="429">
        <f t="shared" si="7"/>
        <v>0</v>
      </c>
      <c r="J164" s="429">
        <f t="shared" si="7"/>
        <v>0</v>
      </c>
      <c r="K164" s="429">
        <f t="shared" si="7"/>
        <v>0</v>
      </c>
      <c r="L164" s="429">
        <f t="shared" si="7"/>
        <v>0</v>
      </c>
      <c r="M164" s="56"/>
    </row>
    <row r="165" spans="2:15" ht="13" x14ac:dyDescent="0.25">
      <c r="B165" s="544" t="str">
        <f>B125</f>
        <v>Uncovered anaerobic lagoon</v>
      </c>
      <c r="C165" s="33"/>
      <c r="D165" s="33"/>
      <c r="E165" s="33"/>
      <c r="F165" s="33"/>
      <c r="G165" s="33"/>
      <c r="H165" s="33"/>
      <c r="I165" s="33"/>
      <c r="J165" s="33"/>
      <c r="K165" s="33"/>
      <c r="L165" s="33"/>
      <c r="M165" s="56"/>
    </row>
    <row r="166" spans="2:15" ht="13" x14ac:dyDescent="0.25">
      <c r="B166" s="544">
        <f>B126</f>
        <v>0</v>
      </c>
      <c r="C166" s="33"/>
      <c r="D166" s="33"/>
      <c r="E166" s="33"/>
      <c r="F166" s="33"/>
      <c r="G166" s="33"/>
      <c r="H166" s="33"/>
      <c r="I166" s="33"/>
      <c r="J166" s="33"/>
      <c r="K166" s="33"/>
      <c r="L166" s="33"/>
    </row>
    <row r="167" spans="2:15" ht="13" x14ac:dyDescent="0.25">
      <c r="B167" s="57"/>
    </row>
    <row r="168" spans="2:15" ht="13" x14ac:dyDescent="0.25">
      <c r="B168" s="542" t="s">
        <v>290</v>
      </c>
      <c r="C168" s="429">
        <f>B54</f>
        <v>0</v>
      </c>
      <c r="D168" s="429">
        <f>B55</f>
        <v>0</v>
      </c>
      <c r="E168" s="429">
        <f>E164</f>
        <v>0</v>
      </c>
      <c r="F168" s="429">
        <f t="shared" ref="F168:L168" si="8">F164</f>
        <v>0</v>
      </c>
      <c r="G168" s="429">
        <f t="shared" si="8"/>
        <v>0</v>
      </c>
      <c r="H168" s="429">
        <f t="shared" si="8"/>
        <v>0</v>
      </c>
      <c r="I168" s="429">
        <f t="shared" si="8"/>
        <v>0</v>
      </c>
      <c r="J168" s="429">
        <f t="shared" si="8"/>
        <v>0</v>
      </c>
      <c r="K168" s="429">
        <f t="shared" si="8"/>
        <v>0</v>
      </c>
      <c r="L168" s="429">
        <f t="shared" si="8"/>
        <v>0</v>
      </c>
    </row>
    <row r="169" spans="2:15" ht="13" x14ac:dyDescent="0.25">
      <c r="B169" s="544">
        <f t="shared" ref="B169:B179" si="9">C125</f>
        <v>0</v>
      </c>
      <c r="C169" s="33"/>
      <c r="D169" s="33"/>
      <c r="E169" s="33"/>
      <c r="F169" s="33"/>
      <c r="G169" s="33"/>
      <c r="H169" s="33"/>
      <c r="I169" s="33"/>
      <c r="J169" s="33"/>
      <c r="K169" s="33"/>
      <c r="L169" s="33"/>
    </row>
    <row r="170" spans="2:15" s="4" customFormat="1" ht="13" x14ac:dyDescent="0.3">
      <c r="B170" s="544">
        <f t="shared" si="9"/>
        <v>0</v>
      </c>
      <c r="C170" s="33"/>
      <c r="D170" s="33"/>
      <c r="E170" s="33"/>
      <c r="F170" s="33"/>
      <c r="G170" s="33"/>
      <c r="H170" s="33"/>
      <c r="I170" s="33"/>
      <c r="J170" s="33"/>
      <c r="K170" s="33"/>
      <c r="L170" s="33"/>
      <c r="M170" s="49"/>
      <c r="N170" s="55"/>
      <c r="O170" s="55"/>
    </row>
    <row r="171" spans="2:15" ht="13" x14ac:dyDescent="0.25">
      <c r="B171" s="544">
        <f t="shared" si="9"/>
        <v>0</v>
      </c>
      <c r="C171" s="33"/>
      <c r="D171" s="33"/>
      <c r="E171" s="33"/>
      <c r="F171" s="33"/>
      <c r="G171" s="33"/>
      <c r="H171" s="33"/>
      <c r="I171" s="33"/>
      <c r="J171" s="33"/>
      <c r="K171" s="33"/>
      <c r="L171" s="33"/>
      <c r="N171" s="56"/>
      <c r="O171" s="56"/>
    </row>
    <row r="172" spans="2:15" ht="13" x14ac:dyDescent="0.25">
      <c r="B172" s="544">
        <f t="shared" si="9"/>
        <v>0</v>
      </c>
      <c r="C172" s="33"/>
      <c r="D172" s="33"/>
      <c r="E172" s="33"/>
      <c r="F172" s="33"/>
      <c r="G172" s="33"/>
      <c r="H172" s="33"/>
      <c r="I172" s="33"/>
      <c r="J172" s="33"/>
      <c r="K172" s="33"/>
      <c r="L172" s="33"/>
      <c r="N172" s="56"/>
      <c r="O172" s="56"/>
    </row>
    <row r="173" spans="2:15" ht="13" x14ac:dyDescent="0.25">
      <c r="B173" s="544">
        <f t="shared" si="9"/>
        <v>0</v>
      </c>
      <c r="C173" s="33"/>
      <c r="D173" s="33"/>
      <c r="E173" s="33"/>
      <c r="F173" s="33"/>
      <c r="G173" s="33"/>
      <c r="H173" s="33"/>
      <c r="I173" s="33"/>
      <c r="J173" s="33"/>
      <c r="K173" s="33"/>
      <c r="L173" s="33"/>
      <c r="M173" s="50"/>
    </row>
    <row r="174" spans="2:15" s="4" customFormat="1" ht="13" x14ac:dyDescent="0.3">
      <c r="B174" s="544">
        <f t="shared" si="9"/>
        <v>0</v>
      </c>
      <c r="C174" s="33"/>
      <c r="D174" s="33"/>
      <c r="E174" s="33"/>
      <c r="F174" s="33"/>
      <c r="G174" s="33"/>
      <c r="H174" s="33"/>
      <c r="I174" s="33"/>
      <c r="J174" s="33"/>
      <c r="K174" s="33"/>
      <c r="L174" s="33"/>
      <c r="M174" s="50"/>
      <c r="N174" s="55"/>
      <c r="O174" s="55"/>
    </row>
    <row r="175" spans="2:15" ht="13" x14ac:dyDescent="0.25">
      <c r="B175" s="544">
        <f t="shared" si="9"/>
        <v>0</v>
      </c>
      <c r="C175" s="33"/>
      <c r="D175" s="33"/>
      <c r="E175" s="33"/>
      <c r="F175" s="33"/>
      <c r="G175" s="33"/>
      <c r="H175" s="33"/>
      <c r="I175" s="33"/>
      <c r="J175" s="33"/>
      <c r="K175" s="33"/>
      <c r="L175" s="33"/>
      <c r="N175" s="56"/>
      <c r="O175" s="56"/>
    </row>
    <row r="176" spans="2:15" ht="13" x14ac:dyDescent="0.25">
      <c r="B176" s="544">
        <f t="shared" si="9"/>
        <v>0</v>
      </c>
      <c r="C176" s="33"/>
      <c r="D176" s="33"/>
      <c r="E176" s="33"/>
      <c r="F176" s="33"/>
      <c r="G176" s="33"/>
      <c r="H176" s="33"/>
      <c r="I176" s="33"/>
      <c r="J176" s="33"/>
      <c r="K176" s="33"/>
      <c r="L176" s="33"/>
      <c r="N176" s="56"/>
      <c r="O176" s="56"/>
    </row>
    <row r="177" spans="2:15" ht="13" x14ac:dyDescent="0.25">
      <c r="B177" s="544">
        <f t="shared" si="9"/>
        <v>0</v>
      </c>
      <c r="C177" s="33"/>
      <c r="D177" s="33"/>
      <c r="E177" s="33"/>
      <c r="F177" s="33"/>
      <c r="G177" s="33"/>
      <c r="H177" s="33"/>
      <c r="I177" s="33"/>
      <c r="J177" s="33"/>
      <c r="K177" s="33"/>
      <c r="L177" s="33"/>
      <c r="N177" s="56"/>
      <c r="O177" s="56"/>
    </row>
    <row r="178" spans="2:15" ht="13" x14ac:dyDescent="0.25">
      <c r="B178" s="544">
        <f t="shared" si="9"/>
        <v>0</v>
      </c>
      <c r="C178" s="33"/>
      <c r="D178" s="33"/>
      <c r="E178" s="33"/>
      <c r="F178" s="33"/>
      <c r="G178" s="33"/>
      <c r="H178" s="33"/>
      <c r="I178" s="33"/>
      <c r="J178" s="33"/>
      <c r="K178" s="33"/>
      <c r="L178" s="33"/>
      <c r="N178" s="56"/>
      <c r="O178" s="56"/>
    </row>
    <row r="179" spans="2:15" ht="13" x14ac:dyDescent="0.25">
      <c r="B179" s="544">
        <f t="shared" si="9"/>
        <v>0</v>
      </c>
      <c r="C179" s="33"/>
      <c r="D179" s="33"/>
      <c r="E179" s="33"/>
      <c r="F179" s="33"/>
      <c r="G179" s="33"/>
      <c r="H179" s="33"/>
      <c r="I179" s="33"/>
      <c r="J179" s="33"/>
      <c r="K179" s="33"/>
      <c r="L179" s="33"/>
      <c r="N179" s="56"/>
      <c r="O179" s="56"/>
    </row>
    <row r="180" spans="2:15" ht="13" x14ac:dyDescent="0.25">
      <c r="B180" s="57"/>
      <c r="C180" s="56"/>
      <c r="D180" s="56"/>
      <c r="E180" s="56"/>
      <c r="F180" s="56"/>
      <c r="G180" s="56"/>
      <c r="H180" s="56"/>
      <c r="I180" s="56"/>
      <c r="J180" s="56"/>
      <c r="K180" s="56"/>
      <c r="L180" s="56"/>
      <c r="N180" s="56"/>
      <c r="O180" s="56"/>
    </row>
    <row r="181" spans="2:15" x14ac:dyDescent="0.25">
      <c r="B181" s="673" t="s">
        <v>241</v>
      </c>
      <c r="C181" s="673"/>
      <c r="D181" s="673"/>
      <c r="E181" s="673"/>
      <c r="F181" s="54"/>
      <c r="G181" s="56"/>
      <c r="H181" s="56"/>
      <c r="I181" s="56"/>
      <c r="J181" s="56"/>
      <c r="K181" s="56"/>
      <c r="L181" s="56"/>
      <c r="N181" s="56"/>
      <c r="O181" s="56"/>
    </row>
    <row r="182" spans="2:15" x14ac:dyDescent="0.25">
      <c r="B182" s="673"/>
      <c r="C182" s="673"/>
      <c r="D182" s="673"/>
      <c r="E182" s="673"/>
      <c r="F182" s="54"/>
      <c r="G182" s="56"/>
      <c r="H182" s="56"/>
      <c r="I182" s="56"/>
      <c r="J182" s="56"/>
      <c r="K182" s="56"/>
      <c r="L182" s="56"/>
      <c r="N182" s="56"/>
      <c r="O182" s="56"/>
    </row>
    <row r="183" spans="2:15" x14ac:dyDescent="0.25">
      <c r="B183" s="673"/>
      <c r="C183" s="673"/>
      <c r="D183" s="673"/>
      <c r="E183" s="673"/>
      <c r="F183" s="54"/>
      <c r="G183" s="56"/>
      <c r="H183" s="56"/>
      <c r="I183" s="56"/>
      <c r="J183" s="56"/>
      <c r="K183" s="56"/>
      <c r="L183" s="56"/>
      <c r="N183" s="56"/>
      <c r="O183" s="56"/>
    </row>
    <row r="184" spans="2:15" x14ac:dyDescent="0.25">
      <c r="B184" s="673"/>
      <c r="C184" s="673"/>
      <c r="D184" s="673"/>
      <c r="E184" s="673"/>
      <c r="F184" s="54"/>
      <c r="N184" s="56"/>
      <c r="O184" s="56"/>
    </row>
    <row r="185" spans="2:15" x14ac:dyDescent="0.25">
      <c r="B185" s="673"/>
      <c r="C185" s="673"/>
      <c r="D185" s="673"/>
      <c r="E185" s="673"/>
      <c r="N185" s="56"/>
      <c r="O185" s="56"/>
    </row>
    <row r="186" spans="2:15" x14ac:dyDescent="0.25">
      <c r="N186" s="56"/>
      <c r="O186" s="56"/>
    </row>
    <row r="187" spans="2:15" s="90" customFormat="1" ht="15.5" x14ac:dyDescent="0.35">
      <c r="B187" s="91" t="s">
        <v>291</v>
      </c>
      <c r="C187" s="120"/>
      <c r="D187" s="132"/>
      <c r="E187" s="100"/>
      <c r="F187" s="133"/>
      <c r="G187" s="100"/>
      <c r="H187" s="100"/>
      <c r="I187" s="100"/>
      <c r="J187" s="100"/>
      <c r="K187" s="100"/>
      <c r="L187" s="100"/>
      <c r="M187" s="100"/>
    </row>
    <row r="188" spans="2:15" ht="13" x14ac:dyDescent="0.3">
      <c r="B188" s="98"/>
      <c r="C188" s="24"/>
      <c r="D188" s="25"/>
      <c r="F188" s="134"/>
      <c r="G188" s="50"/>
      <c r="H188" s="50"/>
      <c r="I188" s="50"/>
      <c r="J188" s="50"/>
      <c r="K188" s="50"/>
      <c r="L188" s="50"/>
    </row>
    <row r="189" spans="2:15" ht="17.25" customHeight="1" x14ac:dyDescent="0.3">
      <c r="B189" s="320" t="s">
        <v>292</v>
      </c>
      <c r="C189" s="24"/>
      <c r="D189" s="24"/>
      <c r="E189" s="11"/>
      <c r="F189" s="39"/>
      <c r="M189" s="4"/>
    </row>
    <row r="190" spans="2:15" ht="35.25" customHeight="1" thickBot="1" x14ac:dyDescent="0.3">
      <c r="B190" s="671" t="s">
        <v>293</v>
      </c>
      <c r="C190" s="671"/>
      <c r="D190" s="671"/>
      <c r="E190" s="671"/>
      <c r="F190" s="34"/>
    </row>
    <row r="191" spans="2:15" ht="15" x14ac:dyDescent="0.3">
      <c r="B191" s="554" t="s">
        <v>294</v>
      </c>
      <c r="C191" s="554" t="s">
        <v>295</v>
      </c>
      <c r="D191" s="554" t="s">
        <v>296</v>
      </c>
      <c r="E191" s="554" t="s">
        <v>297</v>
      </c>
      <c r="F191" s="60"/>
      <c r="G191" s="399" t="s">
        <v>298</v>
      </c>
      <c r="H191" s="402"/>
    </row>
    <row r="192" spans="2:15" ht="13" x14ac:dyDescent="0.3">
      <c r="B192" s="38"/>
      <c r="C192" s="38"/>
      <c r="D192" s="33"/>
      <c r="E192" s="545">
        <f>IF(ISBLANK(C192), 0, VLOOKUP(C192, 'XIV. References'!$B$191:$D$197, 3, FALSE))</f>
        <v>0</v>
      </c>
      <c r="F192" s="39"/>
      <c r="G192" s="400" t="s">
        <v>299</v>
      </c>
      <c r="H192" s="403"/>
      <c r="M192" s="11"/>
    </row>
    <row r="193" spans="2:27" ht="13" x14ac:dyDescent="0.3">
      <c r="B193" s="38"/>
      <c r="C193" s="38"/>
      <c r="D193" s="33"/>
      <c r="E193" s="545">
        <f>IF(ISBLANK(C193), 0, VLOOKUP(C193, 'XIV. References'!$B$191:$D$197, 3, FALSE))</f>
        <v>0</v>
      </c>
      <c r="F193" s="39"/>
      <c r="G193" s="400" t="s">
        <v>300</v>
      </c>
      <c r="H193" s="403"/>
      <c r="M193" s="4"/>
    </row>
    <row r="194" spans="2:27" s="50" customFormat="1" ht="13" x14ac:dyDescent="0.3">
      <c r="B194" s="38"/>
      <c r="C194" s="38"/>
      <c r="D194" s="33"/>
      <c r="E194" s="545">
        <f>IF(ISBLANK(C194), 0, VLOOKUP(C194, 'XIV. References'!$B$191:$D$197, 3, FALSE))</f>
        <v>0</v>
      </c>
      <c r="F194" s="39"/>
      <c r="G194" s="400" t="s">
        <v>301</v>
      </c>
      <c r="H194" s="403"/>
      <c r="I194" s="49"/>
      <c r="J194" s="49"/>
      <c r="K194" s="49"/>
      <c r="L194" s="49"/>
      <c r="M194" s="49"/>
    </row>
    <row r="195" spans="2:27" ht="13" x14ac:dyDescent="0.3">
      <c r="B195" s="38"/>
      <c r="C195" s="38"/>
      <c r="D195" s="33"/>
      <c r="E195" s="545">
        <f>IF(ISBLANK(C195), 0, VLOOKUP(C195, 'XIV. References'!$B$191:$D$197, 3, FALSE))</f>
        <v>0</v>
      </c>
      <c r="F195" s="39"/>
      <c r="G195" s="400" t="s">
        <v>302</v>
      </c>
      <c r="H195" s="403"/>
    </row>
    <row r="196" spans="2:27" ht="15" x14ac:dyDescent="0.25">
      <c r="B196" s="554" t="s">
        <v>294</v>
      </c>
      <c r="C196" s="554" t="s">
        <v>303</v>
      </c>
      <c r="D196" s="554" t="s">
        <v>296</v>
      </c>
      <c r="E196" s="554" t="s">
        <v>297</v>
      </c>
      <c r="F196" s="39"/>
      <c r="G196" s="400" t="s">
        <v>304</v>
      </c>
      <c r="H196" s="403"/>
    </row>
    <row r="197" spans="2:27" ht="13" thickBot="1" x14ac:dyDescent="0.3">
      <c r="B197" s="38"/>
      <c r="C197" s="38"/>
      <c r="D197" s="33"/>
      <c r="E197" s="555"/>
      <c r="F197" s="39"/>
      <c r="G197" s="401" t="s">
        <v>305</v>
      </c>
      <c r="H197" s="404"/>
    </row>
    <row r="198" spans="2:27" x14ac:dyDescent="0.25">
      <c r="B198" s="38"/>
      <c r="C198" s="38"/>
      <c r="D198" s="33"/>
      <c r="E198" s="555"/>
      <c r="F198" s="39"/>
    </row>
    <row r="199" spans="2:27" x14ac:dyDescent="0.25">
      <c r="B199" s="38"/>
      <c r="C199" s="38"/>
      <c r="D199" s="33"/>
      <c r="E199" s="555"/>
      <c r="F199" s="39"/>
    </row>
    <row r="200" spans="2:27" x14ac:dyDescent="0.25">
      <c r="B200" s="38"/>
      <c r="C200" s="38"/>
      <c r="D200" s="33"/>
      <c r="E200" s="555"/>
      <c r="F200" s="39"/>
    </row>
    <row r="201" spans="2:27" x14ac:dyDescent="0.25">
      <c r="B201" s="38"/>
      <c r="C201" s="38"/>
      <c r="D201" s="33"/>
      <c r="E201" s="555"/>
      <c r="F201" s="39"/>
    </row>
    <row r="202" spans="2:27" ht="13" x14ac:dyDescent="0.3">
      <c r="B202" s="3"/>
      <c r="C202" s="11"/>
      <c r="D202" s="11"/>
      <c r="E202" s="11"/>
      <c r="F202" s="61"/>
    </row>
    <row r="203" spans="2:27" ht="13.5" customHeight="1" x14ac:dyDescent="0.25">
      <c r="B203" s="320" t="s">
        <v>306</v>
      </c>
      <c r="C203" s="320"/>
      <c r="D203" s="320"/>
      <c r="E203" s="320"/>
      <c r="F203" s="39"/>
    </row>
    <row r="204" spans="2:27" s="34" customFormat="1" ht="35.25" customHeight="1" x14ac:dyDescent="0.25">
      <c r="B204" s="671" t="s">
        <v>307</v>
      </c>
      <c r="C204" s="671"/>
      <c r="D204" s="671"/>
      <c r="E204" s="671"/>
      <c r="G204" s="135"/>
      <c r="H204" s="135"/>
      <c r="I204" s="135"/>
      <c r="J204" s="135"/>
      <c r="K204" s="135"/>
      <c r="L204" s="135"/>
      <c r="M204" s="135"/>
      <c r="AA204" s="11"/>
    </row>
    <row r="205" spans="2:27" ht="15" x14ac:dyDescent="0.4">
      <c r="B205" s="136" t="s">
        <v>308</v>
      </c>
      <c r="C205" s="136" t="s">
        <v>295</v>
      </c>
      <c r="D205" s="136" t="s">
        <v>309</v>
      </c>
      <c r="E205" s="136" t="s">
        <v>310</v>
      </c>
      <c r="F205" s="60"/>
    </row>
    <row r="206" spans="2:27" ht="13" x14ac:dyDescent="0.3">
      <c r="B206" s="38"/>
      <c r="C206" s="38"/>
      <c r="D206" s="33"/>
      <c r="E206" s="545">
        <f>IF(ISBLANK(C206), 0, VLOOKUP(C206, 'XIV. References'!$B$191:$D$197, 2, FALSE))</f>
        <v>0</v>
      </c>
      <c r="F206" s="39"/>
    </row>
    <row r="207" spans="2:27" ht="13" x14ac:dyDescent="0.3">
      <c r="B207" s="38"/>
      <c r="C207" s="38"/>
      <c r="D207" s="33"/>
      <c r="E207" s="545">
        <f>IF(ISBLANK(C207), 0, VLOOKUP(C207, 'XIV. References'!$B$191:$D$197, 2, FALSE))</f>
        <v>0</v>
      </c>
      <c r="F207" s="39"/>
      <c r="G207" s="4"/>
      <c r="H207" s="4"/>
      <c r="I207" s="4"/>
      <c r="J207" s="4"/>
      <c r="K207" s="4"/>
      <c r="L207" s="4"/>
    </row>
    <row r="208" spans="2:27" ht="13" x14ac:dyDescent="0.3">
      <c r="B208" s="38"/>
      <c r="C208" s="38"/>
      <c r="D208" s="33"/>
      <c r="E208" s="545">
        <f>IF(ISBLANK(C208), 0, VLOOKUP(C208, 'XIV. References'!$B$191:$D$197, 2, FALSE))</f>
        <v>0</v>
      </c>
      <c r="F208" s="39"/>
    </row>
    <row r="209" spans="1:60" ht="13" x14ac:dyDescent="0.3">
      <c r="B209" s="38"/>
      <c r="C209" s="38"/>
      <c r="D209" s="33"/>
      <c r="E209" s="545">
        <f>IF(ISBLANK(C209), 0, VLOOKUP(C209, 'XIV. References'!$B$191:$D$197, 2, FALSE))</f>
        <v>0</v>
      </c>
      <c r="F209" s="39"/>
    </row>
    <row r="210" spans="1:60" ht="15" x14ac:dyDescent="0.4">
      <c r="B210" s="136" t="s">
        <v>308</v>
      </c>
      <c r="C210" s="136" t="s">
        <v>311</v>
      </c>
      <c r="D210" s="136" t="s">
        <v>309</v>
      </c>
      <c r="E210" s="136" t="s">
        <v>310</v>
      </c>
      <c r="F210" s="39"/>
    </row>
    <row r="211" spans="1:60" x14ac:dyDescent="0.25">
      <c r="B211" s="38"/>
      <c r="C211" s="38"/>
      <c r="D211" s="33"/>
      <c r="E211" s="555"/>
      <c r="F211" s="39"/>
      <c r="G211" s="11"/>
      <c r="H211" s="11"/>
      <c r="I211" s="11"/>
      <c r="J211" s="11"/>
      <c r="K211" s="11"/>
      <c r="L211" s="11"/>
    </row>
    <row r="212" spans="1:60" ht="13" x14ac:dyDescent="0.3">
      <c r="B212" s="38"/>
      <c r="C212" s="38"/>
      <c r="D212" s="33"/>
      <c r="E212" s="555"/>
      <c r="F212" s="39"/>
      <c r="G212" s="4"/>
      <c r="H212" s="4"/>
      <c r="I212" s="4"/>
      <c r="J212" s="4"/>
      <c r="K212" s="4"/>
      <c r="L212" s="4"/>
    </row>
    <row r="213" spans="1:60" x14ac:dyDescent="0.25">
      <c r="B213" s="38"/>
      <c r="C213" s="38"/>
      <c r="D213" s="33"/>
      <c r="E213" s="555"/>
      <c r="F213" s="39"/>
    </row>
    <row r="214" spans="1:60" s="4" customFormat="1" ht="13" x14ac:dyDescent="0.3">
      <c r="B214" s="38"/>
      <c r="C214" s="38"/>
      <c r="D214" s="33"/>
      <c r="E214" s="555"/>
      <c r="F214" s="39"/>
      <c r="G214" s="49"/>
      <c r="H214" s="49"/>
      <c r="I214" s="49"/>
      <c r="J214" s="49"/>
      <c r="K214" s="49"/>
      <c r="L214" s="49"/>
      <c r="M214" s="49"/>
    </row>
    <row r="215" spans="1:60" x14ac:dyDescent="0.25">
      <c r="B215" s="38"/>
      <c r="C215" s="38"/>
      <c r="D215" s="33"/>
      <c r="E215" s="555"/>
      <c r="F215" s="39"/>
    </row>
    <row r="216" spans="1:60" ht="13" x14ac:dyDescent="0.3">
      <c r="C216" s="11"/>
      <c r="D216" s="11"/>
      <c r="E216" s="11"/>
      <c r="F216" s="61"/>
    </row>
    <row r="217" spans="1:60" ht="13" x14ac:dyDescent="0.3">
      <c r="C217" s="11"/>
      <c r="D217" s="11"/>
      <c r="E217" s="11"/>
      <c r="F217" s="61"/>
    </row>
    <row r="218" spans="1:60" ht="18" customHeight="1" thickBot="1" x14ac:dyDescent="0.35">
      <c r="B218" s="320" t="s">
        <v>312</v>
      </c>
      <c r="C218" s="98"/>
      <c r="D218" s="98"/>
      <c r="E218" s="98"/>
      <c r="F218" s="61"/>
    </row>
    <row r="219" spans="1:60" ht="31.5" customHeight="1" thickBot="1" x14ac:dyDescent="0.35">
      <c r="B219" s="688" t="s">
        <v>313</v>
      </c>
      <c r="C219" s="688"/>
      <c r="D219" s="688"/>
      <c r="E219" s="688"/>
      <c r="F219" s="62"/>
      <c r="G219" s="112" t="s">
        <v>314</v>
      </c>
    </row>
    <row r="220" spans="1:60" s="64" customFormat="1" ht="15" x14ac:dyDescent="0.4">
      <c r="A220" s="11"/>
      <c r="B220" s="136" t="s">
        <v>315</v>
      </c>
      <c r="C220" s="136" t="s">
        <v>316</v>
      </c>
      <c r="D220" s="136" t="s">
        <v>317</v>
      </c>
      <c r="E220" s="136" t="s">
        <v>318</v>
      </c>
      <c r="F220" s="39"/>
      <c r="G220" s="431" t="s">
        <v>319</v>
      </c>
      <c r="H220" s="49"/>
      <c r="I220" s="49"/>
      <c r="J220" s="49"/>
      <c r="K220" s="49"/>
      <c r="L220" s="49"/>
      <c r="M220" s="49"/>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c r="AZ220" s="11"/>
      <c r="BA220" s="11"/>
      <c r="BB220" s="11"/>
      <c r="BC220" s="11"/>
      <c r="BD220" s="11"/>
      <c r="BE220" s="11"/>
      <c r="BF220" s="11"/>
      <c r="BG220" s="11"/>
      <c r="BH220" s="11"/>
    </row>
    <row r="221" spans="1:60" s="64" customFormat="1" ht="13" x14ac:dyDescent="0.3">
      <c r="A221" s="11"/>
      <c r="B221" s="33"/>
      <c r="C221" s="430" t="s">
        <v>320</v>
      </c>
      <c r="D221" s="137"/>
      <c r="E221" s="434">
        <f>IF(B221="", 0, VLOOKUP(B221, 'XIV. References'!C202:D227, 2, FALSE))</f>
        <v>0</v>
      </c>
      <c r="F221" s="39"/>
      <c r="G221" s="432" t="s">
        <v>321</v>
      </c>
      <c r="H221" s="49"/>
      <c r="I221" s="49"/>
      <c r="J221" s="49"/>
      <c r="K221" s="49"/>
      <c r="L221" s="49"/>
      <c r="M221" s="49"/>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1"/>
      <c r="AZ221" s="11"/>
      <c r="BA221" s="11"/>
      <c r="BB221" s="11"/>
      <c r="BC221" s="11"/>
      <c r="BD221" s="11"/>
      <c r="BE221" s="11"/>
      <c r="BF221" s="11"/>
      <c r="BG221" s="11"/>
      <c r="BH221" s="11"/>
    </row>
    <row r="222" spans="1:60" x14ac:dyDescent="0.25">
      <c r="C222" s="11"/>
      <c r="D222" s="11"/>
      <c r="E222" s="11"/>
      <c r="F222" s="39"/>
      <c r="G222" s="433" t="s">
        <v>322</v>
      </c>
    </row>
    <row r="223" spans="1:60" s="4" customFormat="1" ht="13" x14ac:dyDescent="0.3">
      <c r="B223" s="11"/>
      <c r="C223" s="49"/>
      <c r="D223" s="49"/>
      <c r="E223" s="49"/>
      <c r="F223" s="49"/>
      <c r="G223" s="390" t="s">
        <v>323</v>
      </c>
      <c r="H223" s="49"/>
      <c r="I223" s="49"/>
      <c r="J223" s="49"/>
      <c r="K223" s="49"/>
      <c r="L223" s="49"/>
      <c r="M223" s="49"/>
    </row>
    <row r="224" spans="1:60" x14ac:dyDescent="0.25">
      <c r="B224" s="673" t="s">
        <v>241</v>
      </c>
      <c r="C224" s="673"/>
      <c r="D224" s="673"/>
      <c r="E224" s="673"/>
      <c r="F224" s="54"/>
      <c r="G224" s="390" t="s">
        <v>324</v>
      </c>
    </row>
    <row r="225" spans="2:9" x14ac:dyDescent="0.25">
      <c r="B225" s="673"/>
      <c r="C225" s="673"/>
      <c r="D225" s="673"/>
      <c r="E225" s="673"/>
      <c r="F225" s="54"/>
      <c r="G225" s="390" t="s">
        <v>325</v>
      </c>
    </row>
    <row r="226" spans="2:9" x14ac:dyDescent="0.25">
      <c r="B226" s="673"/>
      <c r="C226" s="673"/>
      <c r="D226" s="673"/>
      <c r="E226" s="673"/>
      <c r="F226" s="54"/>
      <c r="G226" s="390" t="s">
        <v>326</v>
      </c>
    </row>
    <row r="227" spans="2:9" x14ac:dyDescent="0.25">
      <c r="B227" s="673"/>
      <c r="C227" s="673"/>
      <c r="D227" s="673"/>
      <c r="E227" s="673"/>
      <c r="F227" s="54"/>
      <c r="G227" s="390" t="s">
        <v>327</v>
      </c>
    </row>
    <row r="228" spans="2:9" x14ac:dyDescent="0.25">
      <c r="B228" s="673"/>
      <c r="C228" s="673"/>
      <c r="D228" s="673"/>
      <c r="E228" s="673"/>
      <c r="F228" s="54"/>
      <c r="G228" s="390" t="s">
        <v>328</v>
      </c>
    </row>
    <row r="229" spans="2:9" x14ac:dyDescent="0.25">
      <c r="B229" s="673"/>
      <c r="C229" s="673"/>
      <c r="D229" s="673"/>
      <c r="E229" s="673"/>
      <c r="F229" s="54"/>
      <c r="G229" s="390" t="s">
        <v>329</v>
      </c>
    </row>
    <row r="230" spans="2:9" x14ac:dyDescent="0.25">
      <c r="B230" s="673"/>
      <c r="C230" s="673"/>
      <c r="D230" s="673"/>
      <c r="E230" s="673"/>
      <c r="F230" s="54"/>
      <c r="G230" s="390" t="s">
        <v>330</v>
      </c>
    </row>
    <row r="231" spans="2:9" x14ac:dyDescent="0.25">
      <c r="B231" s="673"/>
      <c r="C231" s="673"/>
      <c r="D231" s="673"/>
      <c r="E231" s="673"/>
      <c r="F231" s="54"/>
      <c r="G231" s="390" t="s">
        <v>331</v>
      </c>
    </row>
    <row r="232" spans="2:9" x14ac:dyDescent="0.25">
      <c r="B232" s="673"/>
      <c r="C232" s="673"/>
      <c r="D232" s="673"/>
      <c r="E232" s="673"/>
      <c r="F232" s="54"/>
      <c r="G232" s="390" t="s">
        <v>332</v>
      </c>
    </row>
    <row r="233" spans="2:9" x14ac:dyDescent="0.25">
      <c r="B233" s="673"/>
      <c r="C233" s="673"/>
      <c r="D233" s="673"/>
      <c r="E233" s="673"/>
      <c r="F233" s="54"/>
      <c r="G233" s="390" t="s">
        <v>333</v>
      </c>
    </row>
    <row r="234" spans="2:9" x14ac:dyDescent="0.25">
      <c r="B234" s="673"/>
      <c r="C234" s="673"/>
      <c r="D234" s="673"/>
      <c r="E234" s="673"/>
      <c r="F234" s="54"/>
      <c r="G234" s="390" t="s">
        <v>334</v>
      </c>
    </row>
    <row r="235" spans="2:9" x14ac:dyDescent="0.25">
      <c r="B235" s="673"/>
      <c r="C235" s="673"/>
      <c r="D235" s="673"/>
      <c r="E235" s="673"/>
      <c r="F235" s="54"/>
      <c r="G235" s="390" t="s">
        <v>335</v>
      </c>
    </row>
    <row r="236" spans="2:9" x14ac:dyDescent="0.25">
      <c r="B236" s="673"/>
      <c r="C236" s="673"/>
      <c r="D236" s="673"/>
      <c r="E236" s="673"/>
      <c r="F236" s="54"/>
      <c r="G236" s="390" t="s">
        <v>336</v>
      </c>
    </row>
    <row r="237" spans="2:9" x14ac:dyDescent="0.25">
      <c r="B237" s="673"/>
      <c r="C237" s="673"/>
      <c r="D237" s="673"/>
      <c r="E237" s="673"/>
      <c r="F237" s="54"/>
      <c r="G237" s="390" t="s">
        <v>337</v>
      </c>
      <c r="H237" s="11"/>
      <c r="I237" s="11"/>
    </row>
    <row r="238" spans="2:9" x14ac:dyDescent="0.25">
      <c r="B238" s="54"/>
      <c r="C238" s="54"/>
      <c r="D238" s="54"/>
      <c r="E238" s="54"/>
      <c r="F238" s="54"/>
      <c r="G238" s="390" t="s">
        <v>338</v>
      </c>
      <c r="H238" s="11"/>
      <c r="I238" s="11"/>
    </row>
    <row r="239" spans="2:9" x14ac:dyDescent="0.25">
      <c r="B239" s="54"/>
      <c r="C239" s="54"/>
      <c r="D239" s="54"/>
      <c r="E239" s="54"/>
      <c r="F239" s="54"/>
      <c r="G239" s="390" t="s">
        <v>339</v>
      </c>
      <c r="H239" s="11"/>
      <c r="I239" s="11"/>
    </row>
    <row r="240" spans="2:9" x14ac:dyDescent="0.25">
      <c r="B240" s="54"/>
      <c r="C240" s="54"/>
      <c r="D240" s="54"/>
      <c r="E240" s="54"/>
      <c r="F240" s="54"/>
      <c r="G240" s="390" t="s">
        <v>340</v>
      </c>
      <c r="H240" s="11"/>
      <c r="I240" s="11"/>
    </row>
    <row r="241" spans="2:9" x14ac:dyDescent="0.25">
      <c r="B241" s="54"/>
      <c r="C241" s="54"/>
      <c r="D241" s="54"/>
      <c r="E241" s="54"/>
      <c r="F241" s="54"/>
      <c r="G241" s="390" t="s">
        <v>341</v>
      </c>
      <c r="H241" s="11"/>
      <c r="I241" s="11"/>
    </row>
    <row r="242" spans="2:9" x14ac:dyDescent="0.25">
      <c r="B242" s="54"/>
      <c r="C242" s="54"/>
      <c r="D242" s="54"/>
      <c r="E242" s="54"/>
      <c r="F242" s="54"/>
      <c r="G242" s="390" t="s">
        <v>342</v>
      </c>
      <c r="H242" s="11"/>
      <c r="I242" s="11"/>
    </row>
    <row r="243" spans="2:9" x14ac:dyDescent="0.25">
      <c r="B243" s="54"/>
      <c r="C243" s="54"/>
      <c r="D243" s="54"/>
      <c r="E243" s="54"/>
      <c r="F243" s="54"/>
      <c r="G243" s="390" t="s">
        <v>343</v>
      </c>
      <c r="H243" s="11"/>
      <c r="I243" s="11"/>
    </row>
    <row r="244" spans="2:9" x14ac:dyDescent="0.25">
      <c r="B244" s="54"/>
      <c r="C244" s="54"/>
      <c r="D244" s="54"/>
      <c r="E244" s="54"/>
      <c r="F244" s="54"/>
      <c r="G244" s="390" t="s">
        <v>344</v>
      </c>
      <c r="H244" s="11"/>
      <c r="I244" s="11"/>
    </row>
    <row r="245" spans="2:9" ht="13" thickBot="1" x14ac:dyDescent="0.3">
      <c r="B245" s="54"/>
      <c r="C245" s="54"/>
      <c r="D245" s="54"/>
      <c r="E245" s="54"/>
      <c r="F245" s="54"/>
      <c r="G245" s="391" t="s">
        <v>345</v>
      </c>
      <c r="H245" s="11"/>
    </row>
    <row r="246" spans="2:9" x14ac:dyDescent="0.25">
      <c r="B246" s="54"/>
      <c r="C246" s="54"/>
      <c r="D246" s="54"/>
      <c r="E246" s="54"/>
      <c r="F246" s="54"/>
      <c r="G246" s="11"/>
      <c r="H246" s="11"/>
    </row>
    <row r="247" spans="2:9" x14ac:dyDescent="0.25">
      <c r="B247" s="54"/>
      <c r="C247" s="54"/>
      <c r="D247" s="54"/>
      <c r="E247" s="54"/>
      <c r="F247" s="54"/>
      <c r="G247" s="11"/>
      <c r="H247" s="11"/>
      <c r="I247" s="11"/>
    </row>
    <row r="248" spans="2:9" x14ac:dyDescent="0.25">
      <c r="B248" s="54"/>
      <c r="C248" s="54"/>
      <c r="D248" s="54"/>
      <c r="E248" s="54"/>
      <c r="F248" s="54"/>
      <c r="G248" s="11"/>
      <c r="H248" s="11"/>
      <c r="I248" s="11"/>
    </row>
    <row r="249" spans="2:9" x14ac:dyDescent="0.25">
      <c r="B249" s="54"/>
      <c r="C249" s="54"/>
      <c r="D249" s="54"/>
      <c r="E249" s="54"/>
      <c r="F249" s="54"/>
      <c r="G249" s="11"/>
      <c r="H249" s="11"/>
      <c r="I249" s="11"/>
    </row>
    <row r="250" spans="2:9" x14ac:dyDescent="0.25">
      <c r="B250" s="54"/>
      <c r="C250" s="54"/>
      <c r="D250" s="54"/>
      <c r="E250" s="54"/>
      <c r="F250" s="54"/>
      <c r="G250" s="11"/>
      <c r="H250" s="11"/>
      <c r="I250" s="11"/>
    </row>
    <row r="251" spans="2:9" x14ac:dyDescent="0.25">
      <c r="C251" s="11"/>
      <c r="D251" s="11"/>
      <c r="E251" s="11"/>
      <c r="F251" s="11"/>
      <c r="G251" s="11"/>
      <c r="H251" s="11"/>
    </row>
    <row r="252" spans="2:9" x14ac:dyDescent="0.25">
      <c r="C252" s="11"/>
      <c r="D252" s="11"/>
      <c r="E252" s="11"/>
      <c r="F252" s="11"/>
      <c r="G252" s="11"/>
      <c r="H252" s="11"/>
    </row>
    <row r="253" spans="2:9" x14ac:dyDescent="0.25">
      <c r="C253" s="11"/>
      <c r="D253" s="11"/>
      <c r="E253" s="11"/>
      <c r="F253" s="11"/>
      <c r="G253" s="11"/>
      <c r="H253" s="11"/>
      <c r="I253" s="11"/>
    </row>
    <row r="254" spans="2:9" x14ac:dyDescent="0.25">
      <c r="C254" s="11"/>
      <c r="D254" s="11"/>
      <c r="E254" s="11"/>
      <c r="F254" s="11"/>
      <c r="G254" s="11"/>
      <c r="H254" s="11"/>
      <c r="I254" s="11"/>
    </row>
    <row r="255" spans="2:9" x14ac:dyDescent="0.25">
      <c r="C255" s="11"/>
      <c r="D255" s="11"/>
      <c r="E255" s="11"/>
      <c r="F255" s="11"/>
      <c r="G255" s="11"/>
      <c r="H255" s="11"/>
      <c r="I255" s="11"/>
    </row>
    <row r="256" spans="2:9" x14ac:dyDescent="0.25">
      <c r="C256" s="11"/>
      <c r="D256" s="11"/>
      <c r="E256" s="11"/>
      <c r="F256" s="11"/>
      <c r="G256" s="11"/>
      <c r="H256" s="11"/>
      <c r="I256" s="11"/>
    </row>
    <row r="257" spans="3:9" x14ac:dyDescent="0.25">
      <c r="C257" s="11"/>
      <c r="D257" s="11"/>
      <c r="E257" s="11"/>
      <c r="F257" s="11"/>
      <c r="G257" s="11"/>
      <c r="H257" s="11"/>
      <c r="I257" s="11"/>
    </row>
    <row r="258" spans="3:9" x14ac:dyDescent="0.25">
      <c r="C258" s="11"/>
      <c r="D258" s="11"/>
      <c r="E258" s="11"/>
      <c r="F258" s="11"/>
      <c r="G258" s="11"/>
      <c r="H258" s="11"/>
      <c r="I258" s="11"/>
    </row>
    <row r="259" spans="3:9" x14ac:dyDescent="0.25">
      <c r="C259" s="11"/>
      <c r="D259" s="11"/>
      <c r="E259" s="11"/>
      <c r="F259" s="11"/>
      <c r="G259" s="11"/>
      <c r="H259" s="11"/>
      <c r="I259" s="11"/>
    </row>
    <row r="260" spans="3:9" x14ac:dyDescent="0.25">
      <c r="C260" s="11"/>
      <c r="D260" s="11"/>
      <c r="E260" s="11"/>
      <c r="F260" s="11"/>
      <c r="G260" s="11"/>
      <c r="H260" s="11"/>
    </row>
    <row r="261" spans="3:9" x14ac:dyDescent="0.25">
      <c r="C261" s="11"/>
      <c r="D261" s="11"/>
      <c r="E261" s="11"/>
      <c r="F261" s="11"/>
      <c r="G261" s="11"/>
      <c r="H261" s="11"/>
      <c r="I261" s="11"/>
    </row>
    <row r="262" spans="3:9" x14ac:dyDescent="0.25">
      <c r="C262" s="11"/>
      <c r="D262" s="11"/>
      <c r="E262" s="11"/>
      <c r="F262" s="11"/>
      <c r="G262" s="11"/>
      <c r="H262" s="11"/>
      <c r="I262" s="11"/>
    </row>
    <row r="263" spans="3:9" x14ac:dyDescent="0.25">
      <c r="C263" s="11"/>
      <c r="D263" s="11"/>
      <c r="E263" s="11"/>
      <c r="F263" s="11"/>
      <c r="G263" s="11"/>
      <c r="H263" s="11"/>
      <c r="I263" s="11"/>
    </row>
    <row r="264" spans="3:9" x14ac:dyDescent="0.25">
      <c r="C264" s="11"/>
      <c r="D264" s="11"/>
      <c r="E264" s="11"/>
      <c r="F264" s="11"/>
      <c r="G264" s="11"/>
      <c r="H264" s="11"/>
      <c r="I264" s="11"/>
    </row>
    <row r="265" spans="3:9" x14ac:dyDescent="0.25">
      <c r="C265" s="11"/>
      <c r="D265" s="11"/>
      <c r="E265" s="11"/>
      <c r="F265" s="11"/>
      <c r="G265" s="11"/>
      <c r="H265" s="11"/>
      <c r="I265" s="11"/>
    </row>
    <row r="266" spans="3:9" x14ac:dyDescent="0.25">
      <c r="C266" s="11"/>
      <c r="D266" s="11"/>
      <c r="E266" s="11"/>
      <c r="F266" s="11"/>
      <c r="G266" s="11"/>
      <c r="H266" s="11"/>
      <c r="I266" s="11"/>
    </row>
    <row r="267" spans="3:9" x14ac:dyDescent="0.25">
      <c r="C267" s="11"/>
      <c r="D267" s="11"/>
      <c r="E267" s="11"/>
      <c r="F267" s="11"/>
      <c r="G267" s="11"/>
      <c r="H267" s="11"/>
      <c r="I267" s="11"/>
    </row>
    <row r="268" spans="3:9" x14ac:dyDescent="0.25">
      <c r="C268" s="11"/>
      <c r="D268" s="11"/>
      <c r="E268" s="11"/>
      <c r="F268" s="11"/>
      <c r="G268" s="11"/>
      <c r="H268" s="11"/>
      <c r="I268" s="11"/>
    </row>
    <row r="269" spans="3:9" x14ac:dyDescent="0.25">
      <c r="C269" s="11"/>
      <c r="D269" s="11"/>
      <c r="E269" s="11"/>
      <c r="F269" s="11"/>
      <c r="G269" s="11"/>
      <c r="H269" s="11"/>
      <c r="I269" s="11"/>
    </row>
    <row r="270" spans="3:9" x14ac:dyDescent="0.25">
      <c r="C270" s="11"/>
      <c r="D270" s="11"/>
      <c r="E270" s="11"/>
      <c r="F270" s="11"/>
      <c r="G270" s="11"/>
      <c r="H270" s="11"/>
      <c r="I270" s="11"/>
    </row>
    <row r="271" spans="3:9" x14ac:dyDescent="0.25">
      <c r="C271" s="11"/>
      <c r="D271" s="11"/>
      <c r="E271" s="11"/>
      <c r="F271" s="11"/>
      <c r="G271" s="11"/>
      <c r="H271" s="11"/>
      <c r="I271" s="11"/>
    </row>
    <row r="272" spans="3:9" x14ac:dyDescent="0.25">
      <c r="C272" s="11"/>
      <c r="D272" s="11"/>
      <c r="E272" s="11"/>
      <c r="F272" s="11"/>
      <c r="G272" s="11"/>
      <c r="H272" s="11"/>
      <c r="I272" s="11"/>
    </row>
    <row r="273" spans="3:9" x14ac:dyDescent="0.25">
      <c r="C273" s="11"/>
      <c r="D273" s="11"/>
      <c r="E273" s="11"/>
      <c r="F273" s="11"/>
      <c r="G273" s="11"/>
      <c r="H273" s="11"/>
      <c r="I273" s="11"/>
    </row>
    <row r="274" spans="3:9" x14ac:dyDescent="0.25">
      <c r="C274" s="11"/>
      <c r="D274" s="11"/>
      <c r="E274" s="11"/>
      <c r="F274" s="11"/>
      <c r="G274" s="11"/>
      <c r="H274" s="11"/>
      <c r="I274" s="11"/>
    </row>
    <row r="275" spans="3:9" x14ac:dyDescent="0.25">
      <c r="C275" s="11"/>
      <c r="D275" s="11"/>
      <c r="E275" s="11"/>
      <c r="F275" s="11"/>
      <c r="G275" s="11"/>
      <c r="H275" s="11"/>
    </row>
    <row r="276" spans="3:9" x14ac:dyDescent="0.25">
      <c r="C276" s="11"/>
      <c r="D276" s="11"/>
      <c r="E276" s="11"/>
      <c r="F276" s="11"/>
      <c r="G276" s="11"/>
      <c r="H276" s="11"/>
      <c r="I276" s="11"/>
    </row>
    <row r="277" spans="3:9" x14ac:dyDescent="0.25">
      <c r="C277" s="11"/>
      <c r="D277" s="11"/>
      <c r="E277" s="11"/>
      <c r="F277" s="11"/>
      <c r="G277" s="11"/>
      <c r="H277" s="11"/>
      <c r="I277" s="11"/>
    </row>
    <row r="278" spans="3:9" x14ac:dyDescent="0.25">
      <c r="C278" s="11"/>
      <c r="D278" s="11"/>
      <c r="E278" s="11"/>
      <c r="F278" s="11"/>
      <c r="G278" s="11"/>
      <c r="H278" s="11"/>
      <c r="I278" s="11"/>
    </row>
    <row r="279" spans="3:9" x14ac:dyDescent="0.25">
      <c r="C279" s="11"/>
      <c r="D279" s="11"/>
      <c r="E279" s="11"/>
      <c r="F279" s="11"/>
      <c r="G279" s="11"/>
      <c r="H279" s="11"/>
      <c r="I279" s="11"/>
    </row>
    <row r="280" spans="3:9" x14ac:dyDescent="0.25">
      <c r="C280" s="11"/>
      <c r="D280" s="11"/>
      <c r="E280" s="11"/>
      <c r="F280" s="11"/>
      <c r="G280" s="11"/>
      <c r="H280" s="11"/>
      <c r="I280" s="11"/>
    </row>
    <row r="281" spans="3:9" x14ac:dyDescent="0.25">
      <c r="C281" s="11"/>
      <c r="D281" s="11"/>
      <c r="E281" s="11"/>
      <c r="F281" s="11"/>
      <c r="G281" s="11"/>
      <c r="H281" s="11"/>
      <c r="I281" s="11"/>
    </row>
    <row r="282" spans="3:9" x14ac:dyDescent="0.25">
      <c r="C282" s="11"/>
      <c r="D282" s="11"/>
      <c r="E282" s="11"/>
      <c r="F282" s="11"/>
      <c r="G282" s="11"/>
      <c r="H282" s="11"/>
      <c r="I282" s="11"/>
    </row>
    <row r="283" spans="3:9" x14ac:dyDescent="0.25">
      <c r="C283" s="11"/>
      <c r="D283" s="11"/>
      <c r="E283" s="11"/>
      <c r="F283" s="11"/>
      <c r="G283" s="11"/>
      <c r="H283" s="11"/>
      <c r="I283" s="11"/>
    </row>
    <row r="284" spans="3:9" x14ac:dyDescent="0.25">
      <c r="C284" s="11"/>
      <c r="D284" s="11"/>
      <c r="E284" s="11"/>
      <c r="F284" s="11"/>
      <c r="G284" s="11"/>
      <c r="H284" s="11"/>
      <c r="I284" s="11"/>
    </row>
    <row r="285" spans="3:9" x14ac:dyDescent="0.25">
      <c r="C285" s="11"/>
      <c r="D285" s="11"/>
      <c r="E285" s="11"/>
      <c r="F285" s="11"/>
      <c r="G285" s="11"/>
      <c r="H285" s="11"/>
      <c r="I285" s="11"/>
    </row>
    <row r="286" spans="3:9" x14ac:dyDescent="0.25">
      <c r="C286" s="11"/>
      <c r="D286" s="11"/>
      <c r="E286" s="11"/>
      <c r="F286" s="11"/>
      <c r="G286" s="11"/>
      <c r="H286" s="11"/>
      <c r="I286" s="11"/>
    </row>
  </sheetData>
  <sheetProtection algorithmName="SHA-512" hashValue="PeqkXtRqDZ2d/6NTO82FzVtbOjCgBN8Q7zZ/nmlRllkDrdsVRxwjjP0lBXP+7/Qn8L/dhlRhSBDL2ngBOZFjQg==" saltValue="Dloo7eAbGMZaYoEIpFy+ug==" spinCount="100000" sheet="1" objects="1" scenarios="1"/>
  <customSheetViews>
    <customSheetView guid="{A6F5A5FB-2E6E-47D3-842C-0D3D06DB341A}" scale="70">
      <selection activeCell="B2" sqref="B2"/>
      <rowBreaks count="2" manualBreakCount="2">
        <brk id="118" min="1" max="12" man="1"/>
        <brk id="205" min="1" max="12" man="1"/>
      </rowBreaks>
      <pageMargins left="0" right="0" top="0" bottom="0" header="0" footer="0"/>
      <printOptions horizontalCentered="1" verticalCentered="1"/>
      <pageSetup scale="35" fitToHeight="2" orientation="landscape" r:id="rId1"/>
      <headerFooter alignWithMargins="0"/>
    </customSheetView>
  </customSheetViews>
  <mergeCells count="23">
    <mergeCell ref="B224:E237"/>
    <mergeCell ref="B95:D95"/>
    <mergeCell ref="B219:E219"/>
    <mergeCell ref="B161:D161"/>
    <mergeCell ref="B190:E190"/>
    <mergeCell ref="B204:E204"/>
    <mergeCell ref="B147:D147"/>
    <mergeCell ref="F96:I106"/>
    <mergeCell ref="F109:I120"/>
    <mergeCell ref="B181:E185"/>
    <mergeCell ref="B71:H71"/>
    <mergeCell ref="B163:E163"/>
    <mergeCell ref="B88:E92"/>
    <mergeCell ref="B109:C109"/>
    <mergeCell ref="H123:J135"/>
    <mergeCell ref="E124:F124"/>
    <mergeCell ref="B123:F123"/>
    <mergeCell ref="E148:H159"/>
    <mergeCell ref="B33:G33"/>
    <mergeCell ref="B52:C52"/>
    <mergeCell ref="B65:E68"/>
    <mergeCell ref="B51:E51"/>
    <mergeCell ref="J34:M47"/>
  </mergeCells>
  <phoneticPr fontId="2" type="noConversion"/>
  <dataValidations xWindow="719" yWindow="745" count="15">
    <dataValidation type="list" allowBlank="1" showInputMessage="1" showErrorMessage="1" sqref="E142:G143" xr:uid="{00000000-0002-0000-0200-000000000000}">
      <formula1>$B$73:$B$84</formula1>
    </dataValidation>
    <dataValidation type="decimal" allowBlank="1" showInputMessage="1" showErrorMessage="1" error="Must enter fraction in decimal format!" prompt="Input as decimal (0-1)" sqref="M163:M165 G169:L183 N175:O186 C169:F180" xr:uid="{00000000-0002-0000-0200-000001000000}">
      <formula1>0</formula1>
      <formula2>1</formula2>
    </dataValidation>
    <dataValidation type="decimal" allowBlank="1" showInputMessage="1" showErrorMessage="1" error="Must enter fraction in decimal format!" prompt="Input as a decimal (0-1)." sqref="N171:O172 C165:L166" xr:uid="{00000000-0002-0000-0200-000002000000}">
      <formula1>0</formula1>
      <formula2>1</formula2>
    </dataValidation>
    <dataValidation type="list" showInputMessage="1" showErrorMessage="1" sqref="C142:C143" xr:uid="{00000000-0002-0000-0200-000003000000}">
      <formula1>"No,Yes"</formula1>
    </dataValidation>
    <dataValidation type="list" allowBlank="1" showInputMessage="1" showErrorMessage="1" sqref="B126" xr:uid="{00000000-0002-0000-0200-000004000000}">
      <formula1>$E$126:$E$128</formula1>
    </dataValidation>
    <dataValidation type="list" allowBlank="1" showInputMessage="1" showErrorMessage="1" sqref="C29" xr:uid="{00000000-0002-0000-0200-000005000000}">
      <formula1>$B$35:$B$46</formula1>
    </dataValidation>
    <dataValidation showInputMessage="1" showErrorMessage="1" promptTitle="Reserve Project ID" prompt="Project ID in the format &quot;CAR###&quot;" sqref="C26" xr:uid="{B5D067BE-34D8-4DD9-B994-1F10800F01DF}"/>
    <dataValidation type="list" allowBlank="1" showInputMessage="1" showErrorMessage="1" sqref="B54:B63" xr:uid="{00000000-0002-0000-0200-000007000000}">
      <formula1>$E$53:$E$62</formula1>
    </dataValidation>
    <dataValidation type="whole" allowBlank="1" showInputMessage="1" showErrorMessage="1" error="Enter a 0 or a 1 !" prompt="Enter a 1 if reporting emission reductions for this month, enter a 0 otherwise_x000a_" sqref="D35:D47" xr:uid="{00000000-0002-0000-0200-000008000000}">
      <formula1>0</formula1>
      <formula2>1</formula2>
    </dataValidation>
    <dataValidation type="list" allowBlank="1" showInputMessage="1" showErrorMessage="1" sqref="C125:C135" xr:uid="{00000000-0002-0000-0200-000009000000}">
      <formula1>$F$126:$F$137</formula1>
    </dataValidation>
    <dataValidation type="list" allowBlank="1" showInputMessage="1" showErrorMessage="1" promptTitle="Annual Temp." prompt="Select closest temperature in degrees C" sqref="C22" xr:uid="{00000000-0002-0000-0200-00000A000000}">
      <formula1>"&lt;10,11,12,13,14,15,16,17,18,19,20,21,22,23,24,25,26,27,&gt;28"</formula1>
    </dataValidation>
    <dataValidation type="list" allowBlank="1" showInputMessage="1" showErrorMessage="1" sqref="C192:C195 C206:C209" xr:uid="{00000000-0002-0000-0200-00000B000000}">
      <formula1>$G$192:$G$197</formula1>
    </dataValidation>
    <dataValidation type="list" allowBlank="1" showInputMessage="1" showErrorMessage="1" sqref="B221" xr:uid="{00000000-0002-0000-0200-00000C000000}">
      <formula1>$G$220:$G$245</formula1>
    </dataValidation>
    <dataValidation type="list" allowBlank="1" showInputMessage="1" showErrorMessage="1" prompt="Select relevant digester category" sqref="C23" xr:uid="{00000000-0002-0000-0200-00000D000000}">
      <formula1>"Fully Covered Lagoon,Enclosed Vessel,Other"</formula1>
    </dataValidation>
    <dataValidation type="date" operator="greaterThan" allowBlank="1" showInputMessage="1" showErrorMessage="1" promptTitle="Input as a date" sqref="C27:C28" xr:uid="{A0C95426-8EA4-43FE-AF43-79E2914C1C85}">
      <formula1>39082</formula1>
    </dataValidation>
  </dataValidations>
  <printOptions horizontalCentered="1" verticalCentered="1"/>
  <pageMargins left="0.25" right="0.25" top="0.25" bottom="0.25" header="0.25" footer="0.25"/>
  <pageSetup fitToHeight="2" orientation="landscape" r:id="rId2"/>
  <headerFooter alignWithMargins="0"/>
  <rowBreaks count="2" manualBreakCount="2">
    <brk id="126" min="1" max="12" man="1"/>
    <brk id="210" min="1" max="12" man="1"/>
  </rowBreaks>
  <ignoredErrors>
    <ignoredError sqref="E36:E46" unlockedFormula="1"/>
  </ignoredErrors>
  <extLst>
    <ext xmlns:x14="http://schemas.microsoft.com/office/spreadsheetml/2009/9/main" uri="{CCE6A557-97BC-4b89-ADB6-D9C93CAAB3DF}">
      <x14:dataValidations xmlns:xm="http://schemas.microsoft.com/office/excel/2006/main" xWindow="719" yWindow="745" count="1">
        <x14:dataValidation type="list" allowBlank="1" showInputMessage="1" showErrorMessage="1" prompt="Select from list" xr:uid="{00000000-0002-0000-0200-00000F000000}">
          <x14:formula1>
            <xm:f>'XIV. References'!$B$30:$B$79</xm:f>
          </x14:formula1>
          <xm:sqref>C18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1"/>
  </sheetPr>
  <dimension ref="A1:AO512"/>
  <sheetViews>
    <sheetView showGridLines="0" topLeftCell="A116" zoomScale="80" zoomScaleNormal="80" workbookViewId="0">
      <selection activeCell="B174" sqref="B174"/>
    </sheetView>
  </sheetViews>
  <sheetFormatPr defaultColWidth="9.1796875" defaultRowHeight="12.5" x14ac:dyDescent="0.25"/>
  <cols>
    <col min="1" max="1" width="6.453125" style="11" customWidth="1"/>
    <col min="2" max="2" width="26" style="11" customWidth="1"/>
    <col min="3" max="3" width="29.1796875" style="11" customWidth="1"/>
    <col min="4" max="4" width="22.1796875" style="11" bestFit="1" customWidth="1"/>
    <col min="5" max="5" width="31.453125" style="11" customWidth="1"/>
    <col min="6" max="6" width="32.1796875" style="11" customWidth="1"/>
    <col min="7" max="7" width="19.1796875" style="11" customWidth="1"/>
    <col min="8" max="8" width="15.453125" style="11" customWidth="1"/>
    <col min="9" max="12" width="9.1796875" style="11" customWidth="1"/>
    <col min="13" max="16384" width="9.1796875" style="11"/>
  </cols>
  <sheetData>
    <row r="1" spans="2:14" ht="13" x14ac:dyDescent="0.3">
      <c r="B1" s="12" t="str">
        <f>version</f>
        <v>COPtool Beta Version 2014k - September 2018</v>
      </c>
    </row>
    <row r="2" spans="2:14" ht="13" x14ac:dyDescent="0.3">
      <c r="B2" s="12" t="s">
        <v>81</v>
      </c>
    </row>
    <row r="3" spans="2:14" ht="21" customHeight="1" x14ac:dyDescent="0.4">
      <c r="B3" s="13" t="s">
        <v>346</v>
      </c>
    </row>
    <row r="4" spans="2:14" ht="13" x14ac:dyDescent="0.3">
      <c r="B4" s="14"/>
    </row>
    <row r="5" spans="2:14" ht="21" customHeight="1" x14ac:dyDescent="0.3">
      <c r="B5" s="3" t="s">
        <v>83</v>
      </c>
      <c r="J5" s="8"/>
      <c r="K5" s="8"/>
      <c r="L5" s="8"/>
      <c r="M5" s="8"/>
      <c r="N5" s="8"/>
    </row>
    <row r="6" spans="2:14" ht="13" x14ac:dyDescent="0.3">
      <c r="B6" s="15" t="s">
        <v>347</v>
      </c>
      <c r="C6" s="16" t="s">
        <v>137</v>
      </c>
      <c r="D6" s="17"/>
      <c r="J6" s="8"/>
      <c r="K6" s="8"/>
      <c r="L6" s="8"/>
      <c r="M6" s="8"/>
      <c r="N6" s="8"/>
    </row>
    <row r="7" spans="2:14" ht="13" x14ac:dyDescent="0.3">
      <c r="B7" s="370" t="s">
        <v>84</v>
      </c>
      <c r="C7" s="368" t="s">
        <v>138</v>
      </c>
      <c r="D7" s="371"/>
      <c r="J7" s="8"/>
      <c r="K7" s="8"/>
      <c r="L7" s="8"/>
      <c r="M7" s="8"/>
      <c r="N7" s="8"/>
    </row>
    <row r="8" spans="2:14" ht="15" customHeight="1" x14ac:dyDescent="0.3">
      <c r="B8" s="18" t="s">
        <v>139</v>
      </c>
      <c r="C8" s="19" t="s">
        <v>140</v>
      </c>
      <c r="D8" s="20"/>
      <c r="J8" s="8"/>
      <c r="K8" s="8"/>
      <c r="L8" s="8"/>
      <c r="M8" s="8"/>
      <c r="N8" s="8"/>
    </row>
    <row r="9" spans="2:14" ht="13" x14ac:dyDescent="0.3">
      <c r="B9" s="95" t="s">
        <v>86</v>
      </c>
      <c r="C9" s="96" t="s">
        <v>87</v>
      </c>
      <c r="D9" s="97"/>
      <c r="J9" s="8"/>
      <c r="K9" s="8"/>
      <c r="L9" s="8"/>
      <c r="M9" s="8"/>
      <c r="N9" s="8"/>
    </row>
    <row r="10" spans="2:14" ht="13" x14ac:dyDescent="0.3">
      <c r="B10" s="317" t="s">
        <v>143</v>
      </c>
      <c r="C10" s="318" t="s">
        <v>144</v>
      </c>
      <c r="D10" s="319"/>
      <c r="F10" s="49"/>
      <c r="G10" s="49"/>
      <c r="H10" s="49"/>
      <c r="I10" s="49"/>
      <c r="J10" s="49"/>
      <c r="K10" s="49"/>
      <c r="L10" s="49"/>
      <c r="M10" s="49"/>
    </row>
    <row r="11" spans="2:14" x14ac:dyDescent="0.25">
      <c r="C11" s="24"/>
      <c r="D11" s="25"/>
      <c r="J11" s="8"/>
      <c r="K11" s="8"/>
      <c r="L11" s="8"/>
      <c r="M11" s="8"/>
      <c r="N11" s="8"/>
    </row>
    <row r="12" spans="2:14" s="26" customFormat="1" ht="15.5" x14ac:dyDescent="0.35">
      <c r="B12" s="10" t="s">
        <v>348</v>
      </c>
      <c r="C12" s="27"/>
      <c r="D12" s="27"/>
      <c r="E12" s="28"/>
      <c r="H12" s="28"/>
      <c r="I12" s="28"/>
      <c r="J12" s="29"/>
      <c r="K12" s="29"/>
      <c r="L12" s="29"/>
      <c r="M12" s="29"/>
      <c r="N12" s="29"/>
    </row>
    <row r="13" spans="2:14" ht="33" customHeight="1" x14ac:dyDescent="0.25">
      <c r="B13" s="690" t="s">
        <v>349</v>
      </c>
      <c r="C13" s="690"/>
      <c r="D13" s="690"/>
      <c r="E13" s="690"/>
      <c r="F13" s="690"/>
      <c r="G13" s="690"/>
      <c r="H13" s="690"/>
      <c r="I13" s="690"/>
      <c r="J13" s="8"/>
      <c r="K13" s="8"/>
      <c r="L13" s="8"/>
      <c r="M13" s="8"/>
      <c r="N13" s="8"/>
    </row>
    <row r="14" spans="2:14" ht="14" x14ac:dyDescent="0.25">
      <c r="B14" s="30" t="s">
        <v>350</v>
      </c>
      <c r="C14" s="31"/>
      <c r="D14" s="31"/>
      <c r="E14" s="32"/>
      <c r="F14" s="32"/>
      <c r="G14" s="32"/>
      <c r="H14" s="32" t="s">
        <v>351</v>
      </c>
      <c r="I14" s="32"/>
      <c r="J14" s="8"/>
      <c r="K14" s="8"/>
      <c r="L14" s="8"/>
      <c r="M14" s="8"/>
      <c r="N14" s="8"/>
    </row>
    <row r="15" spans="2:14" ht="36" customHeight="1" x14ac:dyDescent="0.25">
      <c r="B15" s="684" t="s">
        <v>352</v>
      </c>
      <c r="C15" s="684"/>
      <c r="D15" s="684"/>
      <c r="E15" s="32"/>
      <c r="F15" s="32"/>
      <c r="G15" s="32"/>
      <c r="H15" s="32"/>
      <c r="I15" s="32"/>
      <c r="J15" s="8"/>
      <c r="K15" s="8"/>
      <c r="L15" s="8"/>
      <c r="M15" s="8"/>
      <c r="N15" s="8"/>
    </row>
    <row r="16" spans="2:14" ht="16.5" customHeight="1" x14ac:dyDescent="0.25">
      <c r="B16" s="548" t="s">
        <v>246</v>
      </c>
      <c r="C16" s="554" t="s">
        <v>353</v>
      </c>
      <c r="D16" s="554" t="s">
        <v>354</v>
      </c>
      <c r="E16" s="32"/>
      <c r="F16" s="673" t="s">
        <v>241</v>
      </c>
      <c r="G16" s="673"/>
      <c r="H16" s="673"/>
      <c r="I16" s="673"/>
      <c r="J16" s="673"/>
      <c r="K16" s="8"/>
      <c r="L16" s="8"/>
      <c r="M16" s="8"/>
      <c r="N16" s="8"/>
    </row>
    <row r="17" spans="2:14" x14ac:dyDescent="0.25">
      <c r="B17" s="556" t="str">
        <f>'III. INPUT-Baseline'!B35</f>
        <v>-</v>
      </c>
      <c r="C17" s="397">
        <f>IF('III. INPUT-Baseline'!$C$23="", 0, IF('III. INPUT-Baseline'!$C$23="Other", 'III. INPUT-Baseline'!$C$24, VLOOKUP('III. INPUT-Baseline'!$C$23, 'XIV. References'!$B$24:$C$26, 2, FALSE)))</f>
        <v>0</v>
      </c>
      <c r="D17" s="33"/>
      <c r="E17" s="32"/>
      <c r="F17" s="673"/>
      <c r="G17" s="673"/>
      <c r="H17" s="673"/>
      <c r="I17" s="673"/>
      <c r="J17" s="673"/>
      <c r="K17" s="8"/>
      <c r="L17" s="8"/>
      <c r="M17" s="8"/>
      <c r="N17" s="8"/>
    </row>
    <row r="18" spans="2:14" x14ac:dyDescent="0.25">
      <c r="B18" s="556" t="str">
        <f>'III. INPUT-Baseline'!B36</f>
        <v>-</v>
      </c>
      <c r="C18" s="397">
        <f>IF('III. INPUT-Baseline'!$C$23="", 0, IF('III. INPUT-Baseline'!$C$23="Other", 'III. INPUT-Baseline'!$C$24, VLOOKUP('III. INPUT-Baseline'!$C$23, 'XIV. References'!$B$24:$C$26, 2, FALSE)))</f>
        <v>0</v>
      </c>
      <c r="D18" s="33"/>
      <c r="E18" s="32"/>
      <c r="F18" s="673"/>
      <c r="G18" s="673"/>
      <c r="H18" s="673"/>
      <c r="I18" s="673"/>
      <c r="J18" s="673"/>
      <c r="K18" s="8"/>
      <c r="L18" s="8"/>
      <c r="M18" s="8"/>
      <c r="N18" s="8"/>
    </row>
    <row r="19" spans="2:14" x14ac:dyDescent="0.25">
      <c r="B19" s="556" t="str">
        <f>'III. INPUT-Baseline'!B37</f>
        <v>-</v>
      </c>
      <c r="C19" s="397">
        <f>IF('III. INPUT-Baseline'!$C$23="", 0, IF('III. INPUT-Baseline'!$C$23="Other", 'III. INPUT-Baseline'!$C$24, VLOOKUP('III. INPUT-Baseline'!$C$23, 'XIV. References'!$B$24:$C$26, 2, FALSE)))</f>
        <v>0</v>
      </c>
      <c r="D19" s="33"/>
      <c r="E19" s="32"/>
      <c r="F19" s="673"/>
      <c r="G19" s="673"/>
      <c r="H19" s="673"/>
      <c r="I19" s="673"/>
      <c r="J19" s="673"/>
      <c r="K19" s="8"/>
      <c r="L19" s="8"/>
      <c r="M19" s="8"/>
      <c r="N19" s="8"/>
    </row>
    <row r="20" spans="2:14" x14ac:dyDescent="0.25">
      <c r="B20" s="556" t="str">
        <f>'III. INPUT-Baseline'!B38</f>
        <v>-</v>
      </c>
      <c r="C20" s="397">
        <f>IF('III. INPUT-Baseline'!$C$23="", 0, IF('III. INPUT-Baseline'!$C$23="Other", 'III. INPUT-Baseline'!$C$24, VLOOKUP('III. INPUT-Baseline'!$C$23, 'XIV. References'!$B$24:$C$26, 2, FALSE)))</f>
        <v>0</v>
      </c>
      <c r="D20" s="33"/>
      <c r="E20" s="32"/>
      <c r="F20" s="673"/>
      <c r="G20" s="673"/>
      <c r="H20" s="673"/>
      <c r="I20" s="673"/>
      <c r="J20" s="673"/>
      <c r="K20" s="8"/>
      <c r="L20" s="8"/>
      <c r="M20" s="8"/>
      <c r="N20" s="8"/>
    </row>
    <row r="21" spans="2:14" x14ac:dyDescent="0.25">
      <c r="B21" s="556" t="str">
        <f>'III. INPUT-Baseline'!B39</f>
        <v>-</v>
      </c>
      <c r="C21" s="397">
        <f>IF('III. INPUT-Baseline'!$C$23="", 0, IF('III. INPUT-Baseline'!$C$23="Other", 'III. INPUT-Baseline'!$C$24, VLOOKUP('III. INPUT-Baseline'!$C$23, 'XIV. References'!$B$24:$C$26, 2, FALSE)))</f>
        <v>0</v>
      </c>
      <c r="D21" s="33"/>
      <c r="E21" s="32"/>
      <c r="F21" s="673"/>
      <c r="G21" s="673"/>
      <c r="H21" s="673"/>
      <c r="I21" s="673"/>
      <c r="J21" s="673"/>
      <c r="K21" s="8"/>
      <c r="L21" s="8"/>
      <c r="M21" s="8"/>
      <c r="N21" s="8"/>
    </row>
    <row r="22" spans="2:14" x14ac:dyDescent="0.25">
      <c r="B22" s="556" t="str">
        <f>'III. INPUT-Baseline'!B40</f>
        <v>-</v>
      </c>
      <c r="C22" s="397">
        <f>IF('III. INPUT-Baseline'!$C$23="", 0, IF('III. INPUT-Baseline'!$C$23="Other", 'III. INPUT-Baseline'!$C$24, VLOOKUP('III. INPUT-Baseline'!$C$23, 'XIV. References'!$B$24:$C$26, 2, FALSE)))</f>
        <v>0</v>
      </c>
      <c r="D22" s="33"/>
      <c r="E22" s="32"/>
      <c r="F22" s="673"/>
      <c r="G22" s="673"/>
      <c r="H22" s="673"/>
      <c r="I22" s="673"/>
      <c r="J22" s="673"/>
      <c r="K22" s="8"/>
      <c r="L22" s="8"/>
      <c r="M22" s="8"/>
      <c r="N22" s="8"/>
    </row>
    <row r="23" spans="2:14" x14ac:dyDescent="0.25">
      <c r="B23" s="556" t="str">
        <f>'III. INPUT-Baseline'!B41</f>
        <v>-</v>
      </c>
      <c r="C23" s="397">
        <f>IF('III. INPUT-Baseline'!$C$23="", 0, IF('III. INPUT-Baseline'!$C$23="Other", 'III. INPUT-Baseline'!$C$24, VLOOKUP('III. INPUT-Baseline'!$C$23, 'XIV. References'!$B$24:$C$26, 2, FALSE)))</f>
        <v>0</v>
      </c>
      <c r="D23" s="33"/>
      <c r="E23" s="32"/>
      <c r="F23" s="673"/>
      <c r="G23" s="673"/>
      <c r="H23" s="673"/>
      <c r="I23" s="673"/>
      <c r="J23" s="673"/>
      <c r="K23" s="8"/>
      <c r="L23" s="8"/>
      <c r="M23" s="8"/>
      <c r="N23" s="8"/>
    </row>
    <row r="24" spans="2:14" x14ac:dyDescent="0.25">
      <c r="B24" s="556" t="str">
        <f>'III. INPUT-Baseline'!B42</f>
        <v>-</v>
      </c>
      <c r="C24" s="397">
        <f>IF('III. INPUT-Baseline'!$C$23="", 0, IF('III. INPUT-Baseline'!$C$23="Other", 'III. INPUT-Baseline'!$C$24, VLOOKUP('III. INPUT-Baseline'!$C$23, 'XIV. References'!$B$24:$C$26, 2, FALSE)))</f>
        <v>0</v>
      </c>
      <c r="D24" s="33"/>
      <c r="E24" s="32"/>
      <c r="F24" s="673"/>
      <c r="G24" s="673"/>
      <c r="H24" s="673"/>
      <c r="I24" s="673"/>
      <c r="J24" s="673"/>
      <c r="K24" s="8"/>
      <c r="L24" s="8"/>
      <c r="M24" s="8"/>
      <c r="N24" s="8"/>
    </row>
    <row r="25" spans="2:14" x14ac:dyDescent="0.25">
      <c r="B25" s="556" t="str">
        <f>'III. INPUT-Baseline'!B43</f>
        <v>-</v>
      </c>
      <c r="C25" s="397">
        <f>IF('III. INPUT-Baseline'!$C$23="", 0, IF('III. INPUT-Baseline'!$C$23="Other", 'III. INPUT-Baseline'!$C$24, VLOOKUP('III. INPUT-Baseline'!$C$23, 'XIV. References'!$B$24:$C$26, 2, FALSE)))</f>
        <v>0</v>
      </c>
      <c r="D25" s="33"/>
      <c r="E25" s="32"/>
      <c r="F25" s="673"/>
      <c r="G25" s="673"/>
      <c r="H25" s="673"/>
      <c r="I25" s="673"/>
      <c r="J25" s="673"/>
      <c r="K25" s="8"/>
      <c r="L25" s="8"/>
      <c r="M25" s="8"/>
      <c r="N25" s="8"/>
    </row>
    <row r="26" spans="2:14" x14ac:dyDescent="0.25">
      <c r="B26" s="556" t="str">
        <f>'III. INPUT-Baseline'!B44</f>
        <v>-</v>
      </c>
      <c r="C26" s="397">
        <f>IF('III. INPUT-Baseline'!$C$23="", 0, IF('III. INPUT-Baseline'!$C$23="Other", 'III. INPUT-Baseline'!$C$24, VLOOKUP('III. INPUT-Baseline'!$C$23, 'XIV. References'!$B$24:$C$26, 2, FALSE)))</f>
        <v>0</v>
      </c>
      <c r="D26" s="33"/>
      <c r="E26" s="32"/>
      <c r="F26" s="673"/>
      <c r="G26" s="673"/>
      <c r="H26" s="673"/>
      <c r="I26" s="673"/>
      <c r="J26" s="673"/>
      <c r="K26" s="8"/>
      <c r="L26" s="8"/>
      <c r="M26" s="8"/>
      <c r="N26" s="8"/>
    </row>
    <row r="27" spans="2:14" x14ac:dyDescent="0.25">
      <c r="B27" s="556" t="str">
        <f>'III. INPUT-Baseline'!B45</f>
        <v>-</v>
      </c>
      <c r="C27" s="397">
        <f>IF('III. INPUT-Baseline'!$C$23="", 0, IF('III. INPUT-Baseline'!$C$23="Other", 'III. INPUT-Baseline'!$C$24, VLOOKUP('III. INPUT-Baseline'!$C$23, 'XIV. References'!$B$24:$C$26, 2, FALSE)))</f>
        <v>0</v>
      </c>
      <c r="D27" s="33"/>
      <c r="E27" s="32"/>
      <c r="F27" s="673"/>
      <c r="G27" s="673"/>
      <c r="H27" s="673"/>
      <c r="I27" s="673"/>
      <c r="J27" s="673"/>
      <c r="K27" s="8"/>
      <c r="L27" s="8"/>
      <c r="M27" s="8"/>
      <c r="N27" s="8"/>
    </row>
    <row r="28" spans="2:14" x14ac:dyDescent="0.25">
      <c r="B28" s="556" t="str">
        <f>'III. INPUT-Baseline'!B46</f>
        <v>-</v>
      </c>
      <c r="C28" s="397">
        <f>IF('III. INPUT-Baseline'!$C$23="", 0, IF('III. INPUT-Baseline'!$C$23="Other", 'III. INPUT-Baseline'!$C$24, VLOOKUP('III. INPUT-Baseline'!$C$23, 'XIV. References'!$B$24:$C$26, 2, FALSE)))</f>
        <v>0</v>
      </c>
      <c r="D28" s="33"/>
      <c r="E28" s="32"/>
      <c r="F28" s="673"/>
      <c r="G28" s="673"/>
      <c r="H28" s="673"/>
      <c r="I28" s="673"/>
      <c r="J28" s="673"/>
      <c r="K28" s="8"/>
      <c r="L28" s="8"/>
      <c r="M28" s="8"/>
      <c r="N28" s="8"/>
    </row>
    <row r="29" spans="2:14" x14ac:dyDescent="0.25">
      <c r="B29" s="556" t="str">
        <f>'III. INPUT-Baseline'!B47</f>
        <v>-</v>
      </c>
      <c r="C29" s="397">
        <f>IF('III. INPUT-Baseline'!$C$23="", 0, IF('III. INPUT-Baseline'!$C$23="Other", 'III. INPUT-Baseline'!$C$24, VLOOKUP('III. INPUT-Baseline'!$C$23, 'XIV. References'!$B$24:$C$26, 2, FALSE)))</f>
        <v>0</v>
      </c>
      <c r="D29" s="33"/>
      <c r="E29" s="32"/>
      <c r="F29" s="534"/>
      <c r="G29" s="534"/>
      <c r="H29" s="534"/>
      <c r="I29" s="534"/>
      <c r="J29" s="534"/>
      <c r="K29" s="8"/>
      <c r="L29" s="8"/>
      <c r="M29" s="8"/>
      <c r="N29" s="8"/>
    </row>
    <row r="30" spans="2:14" ht="23.25" customHeight="1" thickBot="1" x14ac:dyDescent="0.35">
      <c r="B30" s="3"/>
      <c r="C30" s="32"/>
      <c r="D30" s="32"/>
      <c r="E30" s="32"/>
      <c r="F30" s="32"/>
      <c r="G30" s="32"/>
      <c r="H30" s="32"/>
      <c r="I30" s="32"/>
      <c r="J30" s="8"/>
      <c r="K30" s="8"/>
      <c r="L30" s="8"/>
      <c r="M30" s="8"/>
      <c r="N30" s="8"/>
    </row>
    <row r="31" spans="2:14" ht="62.25" customHeight="1" thickBot="1" x14ac:dyDescent="0.3">
      <c r="B31" s="697" t="s">
        <v>355</v>
      </c>
      <c r="C31" s="698"/>
      <c r="D31" s="698"/>
      <c r="E31" s="698"/>
      <c r="F31" s="698"/>
      <c r="G31" s="698"/>
      <c r="H31" s="698"/>
      <c r="I31" s="698"/>
      <c r="J31" s="699"/>
      <c r="K31" s="8"/>
      <c r="L31" s="8"/>
      <c r="M31" s="8"/>
      <c r="N31" s="8"/>
    </row>
    <row r="32" spans="2:14" ht="17.149999999999999" customHeight="1" x14ac:dyDescent="0.25">
      <c r="B32" s="32"/>
      <c r="C32" s="32"/>
      <c r="D32" s="32"/>
      <c r="E32" s="32"/>
      <c r="F32" s="32"/>
      <c r="G32" s="32"/>
      <c r="H32" s="32"/>
      <c r="I32" s="32"/>
      <c r="J32" s="8"/>
      <c r="K32" s="8"/>
      <c r="L32" s="8"/>
      <c r="M32" s="8"/>
      <c r="N32" s="8"/>
    </row>
    <row r="33" spans="1:16" ht="13" x14ac:dyDescent="0.25">
      <c r="B33" s="692" t="s">
        <v>356</v>
      </c>
      <c r="C33" s="689"/>
      <c r="D33" s="689"/>
      <c r="E33" s="34"/>
      <c r="F33" s="673" t="s">
        <v>241</v>
      </c>
      <c r="G33" s="673"/>
      <c r="H33" s="673"/>
      <c r="I33" s="673"/>
      <c r="J33" s="5"/>
      <c r="K33" s="8"/>
      <c r="L33" s="8"/>
      <c r="M33" s="8"/>
      <c r="N33" s="8"/>
    </row>
    <row r="34" spans="1:16" x14ac:dyDescent="0.25">
      <c r="B34" s="703" t="s">
        <v>357</v>
      </c>
      <c r="C34" s="703"/>
      <c r="D34" s="703"/>
      <c r="E34" s="34"/>
      <c r="F34" s="673"/>
      <c r="G34" s="673"/>
      <c r="H34" s="673"/>
      <c r="I34" s="673"/>
      <c r="J34" s="5"/>
      <c r="K34" s="8"/>
      <c r="L34" s="8"/>
      <c r="M34" s="8"/>
      <c r="N34" s="8"/>
    </row>
    <row r="35" spans="1:16" x14ac:dyDescent="0.25">
      <c r="B35" s="34"/>
      <c r="C35" s="34"/>
      <c r="D35" s="34"/>
      <c r="E35" s="34"/>
      <c r="F35" s="673"/>
      <c r="G35" s="673"/>
      <c r="H35" s="673"/>
      <c r="I35" s="673"/>
      <c r="J35" s="5"/>
      <c r="K35" s="8"/>
      <c r="L35" s="8"/>
      <c r="M35" s="8"/>
      <c r="N35" s="8"/>
    </row>
    <row r="36" spans="1:16" ht="35.25" customHeight="1" x14ac:dyDescent="0.25">
      <c r="B36" s="693" t="s">
        <v>358</v>
      </c>
      <c r="C36" s="693"/>
      <c r="D36" s="557"/>
      <c r="E36" s="34"/>
      <c r="F36" s="673"/>
      <c r="G36" s="673"/>
      <c r="H36" s="673"/>
      <c r="I36" s="673"/>
      <c r="J36" s="5"/>
      <c r="K36" s="8"/>
      <c r="L36" s="8"/>
      <c r="M36" s="8"/>
      <c r="N36" s="8"/>
    </row>
    <row r="37" spans="1:16" ht="17.149999999999999" customHeight="1" x14ac:dyDescent="0.25">
      <c r="B37" s="694" t="s">
        <v>359</v>
      </c>
      <c r="C37" s="694"/>
      <c r="D37" s="694"/>
      <c r="E37" s="34"/>
      <c r="F37" s="673"/>
      <c r="G37" s="673"/>
      <c r="H37" s="673"/>
      <c r="I37" s="673"/>
      <c r="J37" s="5"/>
      <c r="K37" s="8"/>
      <c r="L37" s="8"/>
      <c r="M37" s="8"/>
      <c r="N37" s="8"/>
    </row>
    <row r="38" spans="1:16" ht="15" customHeight="1" x14ac:dyDescent="0.25">
      <c r="B38" s="694"/>
      <c r="C38" s="694"/>
      <c r="D38" s="694"/>
      <c r="E38" s="34"/>
      <c r="F38" s="673"/>
      <c r="G38" s="673"/>
      <c r="H38" s="673"/>
      <c r="I38" s="673"/>
      <c r="J38" s="5"/>
      <c r="K38" s="8"/>
      <c r="L38" s="8"/>
      <c r="M38" s="8"/>
      <c r="N38" s="8"/>
    </row>
    <row r="39" spans="1:16" x14ac:dyDescent="0.25">
      <c r="B39" s="34"/>
      <c r="C39" s="34"/>
      <c r="D39" s="34"/>
      <c r="E39" s="34"/>
      <c r="F39" s="6"/>
      <c r="G39" s="6"/>
      <c r="H39" s="6"/>
      <c r="I39" s="6"/>
      <c r="J39" s="5"/>
      <c r="K39" s="8"/>
      <c r="L39" s="8"/>
      <c r="M39" s="8"/>
      <c r="N39" s="8"/>
    </row>
    <row r="40" spans="1:16" ht="28.5" customHeight="1" x14ac:dyDescent="0.25">
      <c r="B40" s="30" t="s">
        <v>360</v>
      </c>
      <c r="C40" s="30"/>
      <c r="D40" s="30"/>
      <c r="E40" s="30"/>
      <c r="F40" s="5"/>
      <c r="G40" s="5"/>
      <c r="I40" s="7"/>
      <c r="J40" s="7"/>
      <c r="K40" s="5"/>
      <c r="L40" s="5"/>
      <c r="M40" s="8"/>
      <c r="N40" s="8"/>
    </row>
    <row r="41" spans="1:16" ht="26.25" customHeight="1" x14ac:dyDescent="0.3">
      <c r="B41" s="684" t="s">
        <v>361</v>
      </c>
      <c r="C41" s="684"/>
      <c r="D41" s="684"/>
      <c r="E41" s="35"/>
      <c r="F41" s="5"/>
      <c r="G41" s="5"/>
      <c r="H41" s="8"/>
      <c r="I41" s="7"/>
      <c r="J41" s="7"/>
      <c r="K41" s="5"/>
      <c r="L41" s="5"/>
      <c r="M41" s="8"/>
      <c r="N41" s="8"/>
    </row>
    <row r="42" spans="1:16" ht="16" customHeight="1" x14ac:dyDescent="0.25">
      <c r="B42" s="36"/>
      <c r="C42" s="32"/>
      <c r="D42" s="32"/>
      <c r="E42" s="32"/>
      <c r="F42" s="5"/>
      <c r="G42" s="5"/>
      <c r="H42" s="7"/>
      <c r="I42" s="7"/>
      <c r="J42" s="7"/>
      <c r="K42" s="5"/>
      <c r="L42" s="5"/>
      <c r="M42" s="8"/>
      <c r="N42" s="8"/>
    </row>
    <row r="43" spans="1:16" ht="45" customHeight="1" x14ac:dyDescent="0.25">
      <c r="B43" s="693" t="s">
        <v>362</v>
      </c>
      <c r="C43" s="696"/>
      <c r="D43" s="557"/>
      <c r="E43" s="32"/>
      <c r="F43" s="5"/>
      <c r="G43" s="5"/>
      <c r="H43" s="7"/>
      <c r="I43" s="7"/>
      <c r="J43" s="7"/>
      <c r="K43" s="5"/>
      <c r="L43" s="5"/>
      <c r="M43" s="8"/>
      <c r="N43" s="8"/>
    </row>
    <row r="44" spans="1:16" ht="50.25" customHeight="1" x14ac:dyDescent="0.25">
      <c r="B44" s="695" t="s">
        <v>363</v>
      </c>
      <c r="C44" s="695"/>
      <c r="D44" s="695"/>
      <c r="E44" s="32"/>
      <c r="F44" s="32"/>
      <c r="G44" s="32"/>
      <c r="H44" s="7"/>
      <c r="I44" s="7"/>
      <c r="J44" s="7"/>
      <c r="K44" s="5"/>
      <c r="L44" s="5"/>
      <c r="M44" s="5"/>
      <c r="N44" s="5"/>
    </row>
    <row r="45" spans="1:16" ht="13" x14ac:dyDescent="0.25">
      <c r="B45" s="36"/>
      <c r="C45" s="32"/>
      <c r="D45" s="32"/>
      <c r="E45" s="32"/>
      <c r="F45" s="32"/>
      <c r="G45" s="32"/>
      <c r="H45" s="7"/>
      <c r="I45" s="7"/>
      <c r="J45" s="7"/>
      <c r="K45" s="5"/>
      <c r="L45" s="5"/>
      <c r="M45" s="5"/>
      <c r="N45" s="5"/>
    </row>
    <row r="46" spans="1:16" ht="14.25" customHeight="1" x14ac:dyDescent="0.25">
      <c r="A46" s="37"/>
      <c r="B46" s="548" t="s">
        <v>246</v>
      </c>
      <c r="C46" s="548" t="s">
        <v>364</v>
      </c>
      <c r="D46" s="548" t="s">
        <v>365</v>
      </c>
      <c r="E46" s="548" t="s">
        <v>366</v>
      </c>
      <c r="F46" s="548" t="s">
        <v>367</v>
      </c>
      <c r="H46" s="673" t="s">
        <v>241</v>
      </c>
      <c r="I46" s="673"/>
      <c r="J46" s="673"/>
      <c r="K46" s="673"/>
      <c r="L46" s="5"/>
      <c r="M46" s="5"/>
      <c r="N46" s="5"/>
      <c r="O46" s="8"/>
      <c r="P46" s="8"/>
    </row>
    <row r="47" spans="1:16" x14ac:dyDescent="0.25">
      <c r="B47" s="556" t="str">
        <f>'III. INPUT-Baseline'!B35</f>
        <v>-</v>
      </c>
      <c r="C47" s="38"/>
      <c r="D47" s="38"/>
      <c r="E47" s="363"/>
      <c r="F47" s="38"/>
      <c r="H47" s="673"/>
      <c r="I47" s="673"/>
      <c r="J47" s="673"/>
      <c r="K47" s="673"/>
      <c r="L47" s="5"/>
      <c r="M47" s="5"/>
      <c r="N47" s="5"/>
      <c r="O47" s="8"/>
      <c r="P47" s="8"/>
    </row>
    <row r="48" spans="1:16" x14ac:dyDescent="0.25">
      <c r="B48" s="556" t="str">
        <f>'III. INPUT-Baseline'!B36</f>
        <v>-</v>
      </c>
      <c r="C48" s="38"/>
      <c r="D48" s="38"/>
      <c r="E48" s="363"/>
      <c r="F48" s="38"/>
      <c r="H48" s="673"/>
      <c r="I48" s="673"/>
      <c r="J48" s="673"/>
      <c r="K48" s="673"/>
      <c r="L48" s="5"/>
      <c r="M48" s="5"/>
      <c r="N48" s="5"/>
      <c r="O48" s="8"/>
      <c r="P48" s="8"/>
    </row>
    <row r="49" spans="2:16" x14ac:dyDescent="0.25">
      <c r="B49" s="556" t="str">
        <f>'III. INPUT-Baseline'!B37</f>
        <v>-</v>
      </c>
      <c r="C49" s="38"/>
      <c r="D49" s="38"/>
      <c r="E49" s="363"/>
      <c r="F49" s="38"/>
      <c r="H49" s="673"/>
      <c r="I49" s="673"/>
      <c r="J49" s="673"/>
      <c r="K49" s="673"/>
      <c r="L49" s="5"/>
      <c r="M49" s="5"/>
      <c r="N49" s="5"/>
      <c r="O49" s="8"/>
      <c r="P49" s="8"/>
    </row>
    <row r="50" spans="2:16" x14ac:dyDescent="0.25">
      <c r="B50" s="556" t="str">
        <f>'III. INPUT-Baseline'!B38</f>
        <v>-</v>
      </c>
      <c r="C50" s="38"/>
      <c r="D50" s="38"/>
      <c r="E50" s="363"/>
      <c r="F50" s="38"/>
      <c r="H50" s="673"/>
      <c r="I50" s="673"/>
      <c r="J50" s="673"/>
      <c r="K50" s="673"/>
      <c r="L50" s="5"/>
      <c r="M50" s="5"/>
      <c r="N50" s="5"/>
      <c r="O50" s="8"/>
      <c r="P50" s="8"/>
    </row>
    <row r="51" spans="2:16" x14ac:dyDescent="0.25">
      <c r="B51" s="556" t="str">
        <f>'III. INPUT-Baseline'!B39</f>
        <v>-</v>
      </c>
      <c r="C51" s="38"/>
      <c r="D51" s="38"/>
      <c r="E51" s="363"/>
      <c r="F51" s="38"/>
      <c r="H51" s="673"/>
      <c r="I51" s="673"/>
      <c r="J51" s="673"/>
      <c r="K51" s="673"/>
      <c r="L51" s="5"/>
      <c r="M51" s="5"/>
      <c r="N51" s="5"/>
      <c r="O51" s="8"/>
      <c r="P51" s="8"/>
    </row>
    <row r="52" spans="2:16" x14ac:dyDescent="0.25">
      <c r="B52" s="556" t="str">
        <f>'III. INPUT-Baseline'!B40</f>
        <v>-</v>
      </c>
      <c r="C52" s="38"/>
      <c r="D52" s="38"/>
      <c r="E52" s="363"/>
      <c r="F52" s="38"/>
      <c r="H52" s="673"/>
      <c r="I52" s="673"/>
      <c r="J52" s="673"/>
      <c r="K52" s="673"/>
      <c r="L52" s="5"/>
      <c r="M52" s="5"/>
      <c r="N52" s="5"/>
      <c r="O52" s="8"/>
      <c r="P52" s="8"/>
    </row>
    <row r="53" spans="2:16" x14ac:dyDescent="0.25">
      <c r="B53" s="556" t="str">
        <f>'III. INPUT-Baseline'!B41</f>
        <v>-</v>
      </c>
      <c r="C53" s="38"/>
      <c r="D53" s="38"/>
      <c r="E53" s="363"/>
      <c r="F53" s="38"/>
      <c r="H53" s="673"/>
      <c r="I53" s="673"/>
      <c r="J53" s="673"/>
      <c r="K53" s="673"/>
      <c r="M53" s="5"/>
      <c r="N53" s="5"/>
      <c r="O53" s="8"/>
      <c r="P53" s="8"/>
    </row>
    <row r="54" spans="2:16" x14ac:dyDescent="0.25">
      <c r="B54" s="556" t="str">
        <f>'III. INPUT-Baseline'!B42</f>
        <v>-</v>
      </c>
      <c r="C54" s="38"/>
      <c r="D54" s="38"/>
      <c r="E54" s="363"/>
      <c r="F54" s="38"/>
      <c r="H54" s="673"/>
      <c r="I54" s="673"/>
      <c r="J54" s="673"/>
      <c r="K54" s="673"/>
      <c r="M54" s="5"/>
      <c r="N54" s="5"/>
      <c r="O54" s="8"/>
      <c r="P54" s="8"/>
    </row>
    <row r="55" spans="2:16" x14ac:dyDescent="0.25">
      <c r="B55" s="556" t="str">
        <f>'III. INPUT-Baseline'!B43</f>
        <v>-</v>
      </c>
      <c r="C55" s="38"/>
      <c r="D55" s="38"/>
      <c r="E55" s="363"/>
      <c r="F55" s="38"/>
      <c r="H55" s="673"/>
      <c r="I55" s="673"/>
      <c r="J55" s="673"/>
      <c r="K55" s="673"/>
      <c r="M55" s="5"/>
      <c r="N55" s="5"/>
      <c r="O55" s="8"/>
      <c r="P55" s="8"/>
    </row>
    <row r="56" spans="2:16" x14ac:dyDescent="0.25">
      <c r="B56" s="556" t="str">
        <f>'III. INPUT-Baseline'!B44</f>
        <v>-</v>
      </c>
      <c r="C56" s="38"/>
      <c r="D56" s="38"/>
      <c r="E56" s="363"/>
      <c r="F56" s="38"/>
      <c r="H56" s="673"/>
      <c r="I56" s="673"/>
      <c r="J56" s="673"/>
      <c r="K56" s="673"/>
      <c r="M56" s="5"/>
      <c r="N56" s="5"/>
      <c r="O56" s="8"/>
      <c r="P56" s="8"/>
    </row>
    <row r="57" spans="2:16" x14ac:dyDescent="0.25">
      <c r="B57" s="556" t="str">
        <f>'III. INPUT-Baseline'!B45</f>
        <v>-</v>
      </c>
      <c r="C57" s="38"/>
      <c r="D57" s="38"/>
      <c r="E57" s="363"/>
      <c r="F57" s="38"/>
      <c r="H57" s="673"/>
      <c r="I57" s="673"/>
      <c r="J57" s="673"/>
      <c r="K57" s="673"/>
      <c r="M57" s="5"/>
      <c r="N57" s="5"/>
      <c r="O57" s="8"/>
      <c r="P57" s="8"/>
    </row>
    <row r="58" spans="2:16" x14ac:dyDescent="0.25">
      <c r="B58" s="556" t="str">
        <f>'III. INPUT-Baseline'!B46</f>
        <v>-</v>
      </c>
      <c r="C58" s="38"/>
      <c r="D58" s="38"/>
      <c r="E58" s="363"/>
      <c r="F58" s="38"/>
      <c r="H58" s="673"/>
      <c r="I58" s="673"/>
      <c r="J58" s="673"/>
      <c r="K58" s="673"/>
      <c r="M58" s="5"/>
      <c r="N58" s="5"/>
      <c r="O58" s="8"/>
      <c r="P58" s="8"/>
    </row>
    <row r="59" spans="2:16" x14ac:dyDescent="0.25">
      <c r="B59" s="556" t="str">
        <f>'III. INPUT-Baseline'!B47</f>
        <v>-</v>
      </c>
      <c r="C59" s="38"/>
      <c r="D59" s="38"/>
      <c r="E59" s="363"/>
      <c r="F59" s="38"/>
      <c r="H59" s="673"/>
      <c r="I59" s="673"/>
      <c r="J59" s="673"/>
      <c r="K59" s="673"/>
      <c r="M59" s="5"/>
      <c r="N59" s="5"/>
      <c r="O59" s="8"/>
      <c r="P59" s="8"/>
    </row>
    <row r="60" spans="2:16" ht="15" x14ac:dyDescent="0.3">
      <c r="B60" s="11" t="s">
        <v>368</v>
      </c>
      <c r="E60" s="3"/>
      <c r="F60" s="3"/>
      <c r="G60" s="39"/>
      <c r="L60" s="5"/>
      <c r="M60" s="5"/>
      <c r="N60" s="5"/>
      <c r="O60" s="8"/>
      <c r="P60" s="8"/>
    </row>
    <row r="61" spans="2:16" x14ac:dyDescent="0.25">
      <c r="L61" s="5"/>
      <c r="M61" s="5"/>
      <c r="N61" s="5"/>
      <c r="O61" s="8"/>
      <c r="P61" s="8"/>
    </row>
    <row r="62" spans="2:16" ht="13" x14ac:dyDescent="0.25">
      <c r="B62" s="30" t="s">
        <v>369</v>
      </c>
      <c r="C62" s="30"/>
      <c r="D62" s="30"/>
      <c r="E62" s="30"/>
      <c r="J62" s="5"/>
      <c r="K62" s="5"/>
      <c r="L62" s="5"/>
      <c r="M62" s="5"/>
      <c r="N62" s="5"/>
      <c r="O62" s="8"/>
      <c r="P62" s="8"/>
    </row>
    <row r="63" spans="2:16" ht="32.25" customHeight="1" x14ac:dyDescent="0.3">
      <c r="B63" s="705" t="s">
        <v>370</v>
      </c>
      <c r="C63" s="705"/>
      <c r="D63" s="705"/>
      <c r="E63" s="35"/>
      <c r="J63" s="5"/>
      <c r="K63" s="5"/>
      <c r="L63" s="5"/>
      <c r="M63" s="5"/>
      <c r="N63" s="5"/>
      <c r="O63" s="8"/>
      <c r="P63" s="8"/>
    </row>
    <row r="64" spans="2:16" ht="54" customHeight="1" x14ac:dyDescent="0.25">
      <c r="B64" s="684" t="s">
        <v>371</v>
      </c>
      <c r="C64" s="684"/>
      <c r="D64" s="704"/>
      <c r="L64" s="5"/>
      <c r="M64" s="5"/>
      <c r="N64" s="5"/>
    </row>
    <row r="65" spans="2:14" ht="15" x14ac:dyDescent="0.25">
      <c r="B65" s="548" t="s">
        <v>246</v>
      </c>
      <c r="C65" s="558" t="s">
        <v>372</v>
      </c>
      <c r="E65" s="673" t="s">
        <v>241</v>
      </c>
      <c r="F65" s="673"/>
      <c r="G65" s="9"/>
      <c r="H65" s="9"/>
      <c r="I65" s="41"/>
      <c r="J65" s="41"/>
      <c r="L65" s="5"/>
      <c r="M65" s="5"/>
      <c r="N65" s="5"/>
    </row>
    <row r="66" spans="2:14" x14ac:dyDescent="0.25">
      <c r="B66" s="556" t="str">
        <f>'III. INPUT-Baseline'!B35</f>
        <v>-</v>
      </c>
      <c r="C66" s="559"/>
      <c r="D66" s="34"/>
      <c r="E66" s="673"/>
      <c r="F66" s="673"/>
      <c r="G66" s="9"/>
      <c r="H66" s="9"/>
      <c r="I66" s="41"/>
      <c r="J66" s="41"/>
      <c r="L66" s="5"/>
      <c r="M66" s="5"/>
      <c r="N66" s="5"/>
    </row>
    <row r="67" spans="2:14" x14ac:dyDescent="0.25">
      <c r="B67" s="556" t="str">
        <f>'III. INPUT-Baseline'!B36</f>
        <v>-</v>
      </c>
      <c r="C67" s="559"/>
      <c r="D67" s="34"/>
      <c r="E67" s="673"/>
      <c r="F67" s="673"/>
      <c r="G67" s="9"/>
      <c r="H67" s="9"/>
      <c r="I67" s="41"/>
      <c r="J67" s="41"/>
      <c r="L67" s="5"/>
      <c r="M67" s="5"/>
      <c r="N67" s="5"/>
    </row>
    <row r="68" spans="2:14" x14ac:dyDescent="0.25">
      <c r="B68" s="556" t="str">
        <f>'III. INPUT-Baseline'!B37</f>
        <v>-</v>
      </c>
      <c r="C68" s="559"/>
      <c r="D68" s="34"/>
      <c r="E68" s="673"/>
      <c r="F68" s="673"/>
      <c r="G68" s="9"/>
      <c r="H68" s="9"/>
      <c r="I68" s="41"/>
      <c r="J68" s="41"/>
      <c r="L68" s="5"/>
      <c r="M68" s="5"/>
      <c r="N68" s="5"/>
    </row>
    <row r="69" spans="2:14" x14ac:dyDescent="0.25">
      <c r="B69" s="556" t="str">
        <f>'III. INPUT-Baseline'!B38</f>
        <v>-</v>
      </c>
      <c r="C69" s="559"/>
      <c r="D69" s="34"/>
      <c r="E69" s="673"/>
      <c r="F69" s="673"/>
      <c r="G69" s="9"/>
      <c r="H69" s="9"/>
      <c r="I69" s="41"/>
      <c r="J69" s="41"/>
      <c r="L69" s="5"/>
      <c r="M69" s="5"/>
      <c r="N69" s="5"/>
    </row>
    <row r="70" spans="2:14" x14ac:dyDescent="0.25">
      <c r="B70" s="556" t="str">
        <f>'III. INPUT-Baseline'!B39</f>
        <v>-</v>
      </c>
      <c r="C70" s="559"/>
      <c r="D70" s="34"/>
      <c r="E70" s="673"/>
      <c r="F70" s="673"/>
      <c r="G70" s="9"/>
      <c r="H70" s="9"/>
      <c r="I70" s="41"/>
      <c r="J70" s="41"/>
      <c r="L70" s="5"/>
      <c r="M70" s="5"/>
      <c r="N70" s="5"/>
    </row>
    <row r="71" spans="2:14" x14ac:dyDescent="0.25">
      <c r="B71" s="556" t="str">
        <f>'III. INPUT-Baseline'!B40</f>
        <v>-</v>
      </c>
      <c r="C71" s="559"/>
      <c r="D71" s="34"/>
      <c r="E71" s="673"/>
      <c r="F71" s="673"/>
      <c r="G71" s="9"/>
      <c r="H71" s="9"/>
      <c r="I71" s="41"/>
      <c r="J71" s="41"/>
      <c r="L71" s="5"/>
      <c r="M71" s="5"/>
      <c r="N71" s="5"/>
    </row>
    <row r="72" spans="2:14" x14ac:dyDescent="0.25">
      <c r="B72" s="556" t="str">
        <f>'III. INPUT-Baseline'!B41</f>
        <v>-</v>
      </c>
      <c r="C72" s="559"/>
      <c r="D72" s="34"/>
      <c r="E72" s="673"/>
      <c r="F72" s="673"/>
      <c r="G72" s="9"/>
      <c r="H72" s="9"/>
      <c r="I72" s="41"/>
      <c r="J72" s="41"/>
      <c r="L72" s="5"/>
      <c r="M72" s="5"/>
      <c r="N72" s="5"/>
    </row>
    <row r="73" spans="2:14" x14ac:dyDescent="0.25">
      <c r="B73" s="556" t="str">
        <f>'III. INPUT-Baseline'!B42</f>
        <v>-</v>
      </c>
      <c r="C73" s="559"/>
      <c r="D73" s="34"/>
      <c r="E73" s="673"/>
      <c r="F73" s="673"/>
      <c r="G73" s="9"/>
      <c r="H73" s="9"/>
      <c r="I73" s="41"/>
      <c r="J73" s="41"/>
      <c r="L73" s="5"/>
      <c r="M73" s="5"/>
      <c r="N73" s="5"/>
    </row>
    <row r="74" spans="2:14" x14ac:dyDescent="0.25">
      <c r="B74" s="556" t="str">
        <f>'III. INPUT-Baseline'!B43</f>
        <v>-</v>
      </c>
      <c r="C74" s="559"/>
      <c r="D74" s="34"/>
      <c r="E74" s="673"/>
      <c r="F74" s="673"/>
      <c r="G74" s="9"/>
      <c r="H74" s="9"/>
      <c r="I74" s="41"/>
      <c r="J74" s="41"/>
      <c r="L74" s="5"/>
      <c r="M74" s="5"/>
      <c r="N74" s="5"/>
    </row>
    <row r="75" spans="2:14" x14ac:dyDescent="0.25">
      <c r="B75" s="556" t="str">
        <f>'III. INPUT-Baseline'!B44</f>
        <v>-</v>
      </c>
      <c r="C75" s="559"/>
      <c r="D75" s="34"/>
      <c r="E75" s="673"/>
      <c r="F75" s="673"/>
      <c r="G75" s="9"/>
      <c r="H75" s="9"/>
      <c r="I75" s="41"/>
      <c r="J75" s="41"/>
      <c r="L75" s="5"/>
      <c r="M75" s="5"/>
      <c r="N75" s="5"/>
    </row>
    <row r="76" spans="2:14" x14ac:dyDescent="0.25">
      <c r="B76" s="556" t="str">
        <f>'III. INPUT-Baseline'!B45</f>
        <v>-</v>
      </c>
      <c r="C76" s="559"/>
      <c r="D76" s="34"/>
      <c r="E76" s="673"/>
      <c r="F76" s="673"/>
      <c r="G76" s="9"/>
      <c r="H76" s="9"/>
      <c r="I76" s="41"/>
      <c r="J76" s="41"/>
      <c r="L76" s="5"/>
      <c r="M76" s="5"/>
      <c r="N76" s="5"/>
    </row>
    <row r="77" spans="2:14" x14ac:dyDescent="0.25">
      <c r="B77" s="556" t="str">
        <f>'III. INPUT-Baseline'!B46</f>
        <v>-</v>
      </c>
      <c r="C77" s="559"/>
      <c r="D77" s="34"/>
      <c r="E77" s="673"/>
      <c r="F77" s="673"/>
      <c r="G77" s="9"/>
      <c r="H77" s="9"/>
      <c r="I77" s="41"/>
      <c r="J77" s="41"/>
      <c r="K77" s="5"/>
      <c r="L77" s="5"/>
      <c r="M77" s="5"/>
      <c r="N77" s="5"/>
    </row>
    <row r="78" spans="2:14" x14ac:dyDescent="0.25">
      <c r="B78" s="556" t="str">
        <f>'III. INPUT-Baseline'!B47</f>
        <v>-</v>
      </c>
      <c r="C78" s="559"/>
      <c r="D78" s="34"/>
      <c r="E78" s="673"/>
      <c r="F78" s="673"/>
      <c r="G78" s="9"/>
      <c r="H78" s="9"/>
      <c r="I78" s="41"/>
      <c r="J78" s="41"/>
      <c r="K78" s="5"/>
      <c r="L78" s="5"/>
      <c r="M78" s="5"/>
      <c r="N78" s="5"/>
    </row>
    <row r="79" spans="2:14" x14ac:dyDescent="0.25">
      <c r="B79" s="34"/>
      <c r="C79" s="34"/>
      <c r="D79" s="34"/>
      <c r="E79" s="34"/>
      <c r="F79" s="34"/>
      <c r="G79" s="34"/>
      <c r="H79" s="34"/>
      <c r="I79" s="39"/>
      <c r="J79" s="5"/>
      <c r="K79" s="5"/>
      <c r="L79" s="5"/>
      <c r="M79" s="5"/>
      <c r="N79" s="5"/>
    </row>
    <row r="80" spans="2:14" s="26" customFormat="1" ht="15.5" x14ac:dyDescent="0.25">
      <c r="B80" s="42" t="s">
        <v>373</v>
      </c>
      <c r="C80" s="43"/>
      <c r="D80" s="43"/>
      <c r="E80" s="43"/>
      <c r="F80" s="44"/>
      <c r="J80" s="29"/>
      <c r="K80" s="29"/>
      <c r="L80" s="29"/>
      <c r="M80" s="29"/>
      <c r="N80" s="29"/>
    </row>
    <row r="81" spans="2:14" ht="29.25" customHeight="1" x14ac:dyDescent="0.25">
      <c r="B81" s="671" t="s">
        <v>374</v>
      </c>
      <c r="C81" s="671"/>
      <c r="D81" s="671"/>
      <c r="E81" s="671"/>
      <c r="F81" s="34"/>
      <c r="H81" s="39"/>
      <c r="I81" s="39"/>
      <c r="J81" s="8"/>
      <c r="K81" s="8"/>
      <c r="L81" s="8"/>
      <c r="M81" s="8"/>
      <c r="N81" s="8"/>
    </row>
    <row r="82" spans="2:14" ht="20.149999999999999" customHeight="1" x14ac:dyDescent="0.4">
      <c r="B82" s="136" t="s">
        <v>246</v>
      </c>
      <c r="C82" s="535" t="s">
        <v>375</v>
      </c>
      <c r="D82" s="136" t="s">
        <v>376</v>
      </c>
      <c r="E82" s="535" t="s">
        <v>377</v>
      </c>
      <c r="F82" s="548" t="s">
        <v>367</v>
      </c>
      <c r="H82" s="39"/>
      <c r="I82" s="39"/>
      <c r="J82" s="8"/>
      <c r="K82" s="8"/>
      <c r="L82" s="8"/>
      <c r="M82" s="8"/>
      <c r="N82" s="8"/>
    </row>
    <row r="83" spans="2:14" x14ac:dyDescent="0.25">
      <c r="B83" s="560" t="str">
        <f>'III. INPUT-Baseline'!B35</f>
        <v>-</v>
      </c>
      <c r="C83" s="362"/>
      <c r="D83" s="362"/>
      <c r="E83" s="557"/>
      <c r="F83" s="38"/>
      <c r="H83" s="39"/>
      <c r="I83" s="39"/>
      <c r="J83" s="8"/>
      <c r="K83" s="8"/>
      <c r="L83" s="8"/>
      <c r="M83" s="8"/>
      <c r="N83" s="8"/>
    </row>
    <row r="84" spans="2:14" ht="12.75" customHeight="1" x14ac:dyDescent="0.25">
      <c r="B84" s="560" t="str">
        <f>'III. INPUT-Baseline'!B36</f>
        <v>-</v>
      </c>
      <c r="C84" s="362"/>
      <c r="D84" s="362"/>
      <c r="E84" s="557"/>
      <c r="F84" s="38"/>
      <c r="H84" s="673" t="s">
        <v>241</v>
      </c>
      <c r="I84" s="673"/>
      <c r="J84" s="673"/>
      <c r="K84" s="673"/>
      <c r="L84" s="673"/>
      <c r="M84" s="8"/>
      <c r="N84" s="8"/>
    </row>
    <row r="85" spans="2:14" x14ac:dyDescent="0.25">
      <c r="B85" s="560" t="str">
        <f>'III. INPUT-Baseline'!B37</f>
        <v>-</v>
      </c>
      <c r="C85" s="362"/>
      <c r="D85" s="362"/>
      <c r="E85" s="557"/>
      <c r="F85" s="38"/>
      <c r="H85" s="673"/>
      <c r="I85" s="673"/>
      <c r="J85" s="673"/>
      <c r="K85" s="673"/>
      <c r="L85" s="673"/>
      <c r="M85" s="8"/>
      <c r="N85" s="8"/>
    </row>
    <row r="86" spans="2:14" x14ac:dyDescent="0.25">
      <c r="B86" s="560" t="str">
        <f>'III. INPUT-Baseline'!B38</f>
        <v>-</v>
      </c>
      <c r="C86" s="362"/>
      <c r="D86" s="362"/>
      <c r="E86" s="557"/>
      <c r="F86" s="38"/>
      <c r="H86" s="673"/>
      <c r="I86" s="673"/>
      <c r="J86" s="673"/>
      <c r="K86" s="673"/>
      <c r="L86" s="673"/>
      <c r="M86" s="8"/>
      <c r="N86" s="8"/>
    </row>
    <row r="87" spans="2:14" x14ac:dyDescent="0.25">
      <c r="B87" s="560" t="str">
        <f>'III. INPUT-Baseline'!B39</f>
        <v>-</v>
      </c>
      <c r="C87" s="362"/>
      <c r="D87" s="362"/>
      <c r="E87" s="557"/>
      <c r="F87" s="38"/>
      <c r="H87" s="673"/>
      <c r="I87" s="673"/>
      <c r="J87" s="673"/>
      <c r="K87" s="673"/>
      <c r="L87" s="673"/>
      <c r="M87" s="8"/>
      <c r="N87" s="8"/>
    </row>
    <row r="88" spans="2:14" x14ac:dyDescent="0.25">
      <c r="B88" s="560" t="str">
        <f>'III. INPUT-Baseline'!B40</f>
        <v>-</v>
      </c>
      <c r="C88" s="362"/>
      <c r="D88" s="362"/>
      <c r="E88" s="557"/>
      <c r="F88" s="38"/>
      <c r="H88" s="673"/>
      <c r="I88" s="673"/>
      <c r="J88" s="673"/>
      <c r="K88" s="673"/>
      <c r="L88" s="673"/>
      <c r="M88" s="8"/>
      <c r="N88" s="8"/>
    </row>
    <row r="89" spans="2:14" x14ac:dyDescent="0.25">
      <c r="B89" s="560" t="str">
        <f>'III. INPUT-Baseline'!B41</f>
        <v>-</v>
      </c>
      <c r="C89" s="362"/>
      <c r="D89" s="362"/>
      <c r="E89" s="557"/>
      <c r="F89" s="38"/>
      <c r="H89" s="673"/>
      <c r="I89" s="673"/>
      <c r="J89" s="673"/>
      <c r="K89" s="673"/>
      <c r="L89" s="673"/>
      <c r="M89" s="8"/>
      <c r="N89" s="8"/>
    </row>
    <row r="90" spans="2:14" x14ac:dyDescent="0.25">
      <c r="B90" s="560" t="str">
        <f>'III. INPUT-Baseline'!B42</f>
        <v>-</v>
      </c>
      <c r="C90" s="362"/>
      <c r="D90" s="362"/>
      <c r="E90" s="557"/>
      <c r="F90" s="38"/>
      <c r="H90" s="673"/>
      <c r="I90" s="673"/>
      <c r="J90" s="673"/>
      <c r="K90" s="673"/>
      <c r="L90" s="673"/>
      <c r="M90" s="8"/>
      <c r="N90" s="8"/>
    </row>
    <row r="91" spans="2:14" x14ac:dyDescent="0.25">
      <c r="B91" s="560" t="str">
        <f>'III. INPUT-Baseline'!B43</f>
        <v>-</v>
      </c>
      <c r="C91" s="362"/>
      <c r="D91" s="362"/>
      <c r="E91" s="557"/>
      <c r="F91" s="38"/>
      <c r="H91" s="673"/>
      <c r="I91" s="673"/>
      <c r="J91" s="673"/>
      <c r="K91" s="673"/>
      <c r="L91" s="673"/>
      <c r="M91" s="8"/>
      <c r="N91" s="8"/>
    </row>
    <row r="92" spans="2:14" x14ac:dyDescent="0.25">
      <c r="B92" s="560" t="str">
        <f>'III. INPUT-Baseline'!B44</f>
        <v>-</v>
      </c>
      <c r="C92" s="362"/>
      <c r="D92" s="362"/>
      <c r="E92" s="557"/>
      <c r="F92" s="38"/>
      <c r="H92" s="673"/>
      <c r="I92" s="673"/>
      <c r="J92" s="673"/>
      <c r="K92" s="673"/>
      <c r="L92" s="673"/>
      <c r="M92" s="8"/>
      <c r="N92" s="8"/>
    </row>
    <row r="93" spans="2:14" x14ac:dyDescent="0.25">
      <c r="B93" s="560" t="str">
        <f>'III. INPUT-Baseline'!B45</f>
        <v>-</v>
      </c>
      <c r="C93" s="362"/>
      <c r="D93" s="362"/>
      <c r="E93" s="557"/>
      <c r="F93" s="38"/>
      <c r="G93" s="7"/>
      <c r="H93" s="7"/>
      <c r="I93" s="7"/>
      <c r="J93" s="7"/>
      <c r="K93" s="7"/>
      <c r="L93" s="8"/>
      <c r="M93" s="8"/>
      <c r="N93" s="8"/>
    </row>
    <row r="94" spans="2:14" x14ac:dyDescent="0.25">
      <c r="B94" s="560" t="str">
        <f>'III. INPUT-Baseline'!B46</f>
        <v>-</v>
      </c>
      <c r="C94" s="362"/>
      <c r="D94" s="362"/>
      <c r="E94" s="557"/>
      <c r="F94" s="38"/>
      <c r="G94" s="7"/>
      <c r="H94" s="7"/>
      <c r="I94" s="7"/>
      <c r="J94" s="7"/>
      <c r="K94" s="7"/>
      <c r="L94" s="8"/>
      <c r="M94" s="8"/>
      <c r="N94" s="8"/>
    </row>
    <row r="95" spans="2:14" x14ac:dyDescent="0.25">
      <c r="B95" s="560" t="str">
        <f>'III. INPUT-Baseline'!B47</f>
        <v>-</v>
      </c>
      <c r="C95" s="362"/>
      <c r="D95" s="362"/>
      <c r="E95" s="557"/>
      <c r="F95" s="38"/>
      <c r="G95" s="7"/>
      <c r="H95" s="7"/>
      <c r="I95" s="7"/>
      <c r="J95" s="7"/>
      <c r="K95" s="7"/>
      <c r="L95" s="8"/>
      <c r="M95" s="8"/>
      <c r="N95" s="8"/>
    </row>
    <row r="96" spans="2:14" x14ac:dyDescent="0.25">
      <c r="E96" s="39"/>
      <c r="H96" s="39"/>
      <c r="I96" s="39"/>
      <c r="J96" s="5"/>
      <c r="K96" s="5"/>
      <c r="L96" s="5"/>
      <c r="M96" s="5"/>
      <c r="N96" s="5"/>
    </row>
    <row r="97" spans="2:16" s="26" customFormat="1" ht="14.25" customHeight="1" x14ac:dyDescent="0.35">
      <c r="B97" s="10" t="s">
        <v>378</v>
      </c>
      <c r="F97" s="44"/>
      <c r="J97" s="29"/>
      <c r="K97" s="29"/>
      <c r="L97" s="29"/>
      <c r="M97" s="29"/>
      <c r="N97" s="29"/>
    </row>
    <row r="98" spans="2:16" ht="48" customHeight="1" x14ac:dyDescent="0.25">
      <c r="B98" s="684" t="s">
        <v>379</v>
      </c>
      <c r="C98" s="684"/>
      <c r="D98" s="684"/>
      <c r="E98" s="684"/>
      <c r="F98" s="684"/>
      <c r="H98" s="39"/>
      <c r="I98" s="39"/>
      <c r="J98" s="8"/>
      <c r="K98" s="8"/>
      <c r="L98" s="8"/>
      <c r="M98" s="8"/>
      <c r="N98" s="8"/>
    </row>
    <row r="99" spans="2:16" ht="14.25" customHeight="1" x14ac:dyDescent="0.4">
      <c r="B99" s="136" t="s">
        <v>380</v>
      </c>
      <c r="C99" s="535" t="s">
        <v>381</v>
      </c>
      <c r="D99" s="136" t="s">
        <v>382</v>
      </c>
      <c r="E99" s="568" t="s">
        <v>383</v>
      </c>
      <c r="F99" s="535" t="s">
        <v>384</v>
      </c>
      <c r="G99" s="535" t="s">
        <v>385</v>
      </c>
      <c r="H99" s="34"/>
      <c r="I99" s="673" t="s">
        <v>241</v>
      </c>
      <c r="J99" s="673"/>
      <c r="K99" s="673"/>
      <c r="L99" s="673"/>
      <c r="M99" s="673"/>
      <c r="N99" s="8"/>
      <c r="O99" s="8"/>
      <c r="P99" s="8"/>
    </row>
    <row r="100" spans="2:16" x14ac:dyDescent="0.25">
      <c r="B100" s="561">
        <f>'III. INPUT-Baseline'!B111</f>
        <v>0</v>
      </c>
      <c r="C100" s="393">
        <f>'III. INPUT-Baseline'!C86</f>
        <v>0</v>
      </c>
      <c r="D100" s="561">
        <f>'III. INPUT-Baseline'!D97</f>
        <v>0</v>
      </c>
      <c r="E100" s="569" t="str">
        <f>IFERROR(VLOOKUP(B100, 'XIV. References'!$B$9:$D$20, 3, FALSE),"-")</f>
        <v>-</v>
      </c>
      <c r="F100" s="557"/>
      <c r="G100" s="570" t="str">
        <f>IFERROR(D100*C100*E100*F100*0.3, "-")</f>
        <v>-</v>
      </c>
      <c r="H100" s="34"/>
      <c r="I100" s="673"/>
      <c r="J100" s="673"/>
      <c r="K100" s="673"/>
      <c r="L100" s="673"/>
      <c r="M100" s="673"/>
      <c r="N100" s="8"/>
      <c r="O100" s="8"/>
      <c r="P100" s="8"/>
    </row>
    <row r="101" spans="2:16" x14ac:dyDescent="0.25">
      <c r="B101" s="561">
        <f>'III. INPUT-Baseline'!B112</f>
        <v>0</v>
      </c>
      <c r="C101" s="393">
        <f>'III. INPUT-Baseline'!D86</f>
        <v>0</v>
      </c>
      <c r="D101" s="561">
        <f>'III. INPUT-Baseline'!D98</f>
        <v>0</v>
      </c>
      <c r="E101" s="569" t="str">
        <f>IFERROR(VLOOKUP(B101, 'XIV. References'!$B$9:$D$20, 3, FALSE),"-")</f>
        <v>-</v>
      </c>
      <c r="F101" s="557"/>
      <c r="G101" s="570" t="str">
        <f t="shared" ref="G101:G109" si="0">IFERROR(D101*C101*E101*F101*0.3, "-")</f>
        <v>-</v>
      </c>
      <c r="H101" s="34"/>
      <c r="I101" s="673"/>
      <c r="J101" s="673"/>
      <c r="K101" s="673"/>
      <c r="L101" s="673"/>
      <c r="M101" s="673"/>
      <c r="N101" s="8"/>
      <c r="O101" s="8"/>
      <c r="P101" s="8"/>
    </row>
    <row r="102" spans="2:16" x14ac:dyDescent="0.25">
      <c r="B102" s="561">
        <f>'III. INPUT-Baseline'!B113</f>
        <v>0</v>
      </c>
      <c r="C102" s="393">
        <f>'III. INPUT-Baseline'!E86</f>
        <v>0</v>
      </c>
      <c r="D102" s="561">
        <f>'III. INPUT-Baseline'!D99</f>
        <v>0</v>
      </c>
      <c r="E102" s="569" t="str">
        <f>IFERROR(VLOOKUP(B102, 'XIV. References'!$B$9:$D$20, 3, FALSE),"-")</f>
        <v>-</v>
      </c>
      <c r="F102" s="557"/>
      <c r="G102" s="570" t="str">
        <f t="shared" si="0"/>
        <v>-</v>
      </c>
      <c r="H102" s="34"/>
      <c r="I102" s="673"/>
      <c r="J102" s="673"/>
      <c r="K102" s="673"/>
      <c r="L102" s="673"/>
      <c r="M102" s="673"/>
      <c r="N102" s="8"/>
      <c r="O102" s="8"/>
      <c r="P102" s="8"/>
    </row>
    <row r="103" spans="2:16" x14ac:dyDescent="0.25">
      <c r="B103" s="561">
        <f>'III. INPUT-Baseline'!B114</f>
        <v>0</v>
      </c>
      <c r="C103" s="393">
        <f>'III. INPUT-Baseline'!F86</f>
        <v>0</v>
      </c>
      <c r="D103" s="561">
        <f>'III. INPUT-Baseline'!D100</f>
        <v>0</v>
      </c>
      <c r="E103" s="569" t="str">
        <f>IFERROR(VLOOKUP(B103, 'XIV. References'!$B$9:$D$20, 3, FALSE),"-")</f>
        <v>-</v>
      </c>
      <c r="F103" s="557"/>
      <c r="G103" s="570" t="str">
        <f t="shared" si="0"/>
        <v>-</v>
      </c>
      <c r="H103" s="34"/>
      <c r="I103" s="673"/>
      <c r="J103" s="673"/>
      <c r="K103" s="673"/>
      <c r="L103" s="673"/>
      <c r="M103" s="673"/>
      <c r="N103" s="8"/>
      <c r="O103" s="8"/>
      <c r="P103" s="8"/>
    </row>
    <row r="104" spans="2:16" x14ac:dyDescent="0.25">
      <c r="B104" s="561">
        <f>'III. INPUT-Baseline'!B115</f>
        <v>0</v>
      </c>
      <c r="C104" s="393">
        <f>'III. INPUT-Baseline'!G86</f>
        <v>0</v>
      </c>
      <c r="D104" s="561">
        <f>'III. INPUT-Baseline'!D101</f>
        <v>0</v>
      </c>
      <c r="E104" s="569" t="str">
        <f>IFERROR(VLOOKUP(B104, 'XIV. References'!$B$9:$D$20, 3, FALSE),"-")</f>
        <v>-</v>
      </c>
      <c r="F104" s="557"/>
      <c r="G104" s="570" t="str">
        <f t="shared" si="0"/>
        <v>-</v>
      </c>
      <c r="H104" s="34"/>
      <c r="I104" s="673"/>
      <c r="J104" s="673"/>
      <c r="K104" s="673"/>
      <c r="L104" s="673"/>
      <c r="M104" s="673"/>
      <c r="N104" s="8"/>
      <c r="O104" s="8"/>
      <c r="P104" s="8"/>
    </row>
    <row r="105" spans="2:16" x14ac:dyDescent="0.25">
      <c r="B105" s="561">
        <f>'III. INPUT-Baseline'!B116</f>
        <v>0</v>
      </c>
      <c r="C105" s="393">
        <f>'III. INPUT-Baseline'!H86</f>
        <v>0</v>
      </c>
      <c r="D105" s="561">
        <f>'III. INPUT-Baseline'!D102</f>
        <v>0</v>
      </c>
      <c r="E105" s="569" t="str">
        <f>IFERROR(VLOOKUP(B105, 'XIV. References'!$B$9:$D$20, 3, FALSE),"-")</f>
        <v>-</v>
      </c>
      <c r="F105" s="557"/>
      <c r="G105" s="570" t="str">
        <f t="shared" si="0"/>
        <v>-</v>
      </c>
      <c r="H105" s="34"/>
      <c r="I105" s="673"/>
      <c r="J105" s="673"/>
      <c r="K105" s="673"/>
      <c r="L105" s="673"/>
      <c r="M105" s="673"/>
      <c r="N105" s="8"/>
      <c r="O105" s="8"/>
      <c r="P105" s="8"/>
    </row>
    <row r="106" spans="2:16" x14ac:dyDescent="0.25">
      <c r="B106" s="561">
        <f>'III. INPUT-Baseline'!B117</f>
        <v>0</v>
      </c>
      <c r="C106" s="393">
        <f>'III. INPUT-Baseline'!I86</f>
        <v>0</v>
      </c>
      <c r="D106" s="561">
        <f>'III. INPUT-Baseline'!D103</f>
        <v>0</v>
      </c>
      <c r="E106" s="569" t="str">
        <f>IFERROR(VLOOKUP(B106, 'XIV. References'!$B$9:$D$20, 3, FALSE),"-")</f>
        <v>-</v>
      </c>
      <c r="F106" s="557"/>
      <c r="G106" s="570" t="str">
        <f t="shared" si="0"/>
        <v>-</v>
      </c>
      <c r="H106" s="34"/>
      <c r="I106" s="673"/>
      <c r="J106" s="673"/>
      <c r="K106" s="673"/>
      <c r="L106" s="673"/>
      <c r="M106" s="673"/>
      <c r="N106" s="8"/>
      <c r="O106" s="8"/>
      <c r="P106" s="8"/>
    </row>
    <row r="107" spans="2:16" x14ac:dyDescent="0.25">
      <c r="B107" s="561">
        <f>'III. INPUT-Baseline'!B118</f>
        <v>0</v>
      </c>
      <c r="C107" s="393">
        <f>'III. INPUT-Baseline'!J86</f>
        <v>0</v>
      </c>
      <c r="D107" s="561">
        <f>'III. INPUT-Baseline'!D104</f>
        <v>0</v>
      </c>
      <c r="E107" s="569" t="str">
        <f>IFERROR(VLOOKUP(B107, 'XIV. References'!$B$9:$D$20, 3, FALSE),"-")</f>
        <v>-</v>
      </c>
      <c r="F107" s="557"/>
      <c r="G107" s="570" t="str">
        <f t="shared" si="0"/>
        <v>-</v>
      </c>
      <c r="H107" s="34"/>
      <c r="I107" s="673"/>
      <c r="J107" s="673"/>
      <c r="K107" s="673"/>
      <c r="L107" s="673"/>
      <c r="M107" s="673"/>
      <c r="N107" s="8"/>
      <c r="O107" s="8"/>
      <c r="P107" s="8"/>
    </row>
    <row r="108" spans="2:16" x14ac:dyDescent="0.25">
      <c r="B108" s="561">
        <f>'III. INPUT-Baseline'!B119</f>
        <v>0</v>
      </c>
      <c r="C108" s="393">
        <f>'III. INPUT-Baseline'!K86</f>
        <v>0</v>
      </c>
      <c r="D108" s="561">
        <f>'III. INPUT-Baseline'!D105</f>
        <v>0</v>
      </c>
      <c r="E108" s="569" t="str">
        <f>IFERROR(VLOOKUP(B108, 'XIV. References'!$B$9:$D$20, 3, FALSE),"-")</f>
        <v>-</v>
      </c>
      <c r="F108" s="557"/>
      <c r="G108" s="570" t="str">
        <f t="shared" si="0"/>
        <v>-</v>
      </c>
      <c r="H108" s="34"/>
      <c r="I108" s="673"/>
      <c r="J108" s="673"/>
      <c r="K108" s="673"/>
      <c r="L108" s="673"/>
      <c r="M108" s="673"/>
      <c r="N108" s="8"/>
      <c r="O108" s="8"/>
      <c r="P108" s="8"/>
    </row>
    <row r="109" spans="2:16" x14ac:dyDescent="0.25">
      <c r="B109" s="561">
        <f>'III. INPUT-Baseline'!B120</f>
        <v>0</v>
      </c>
      <c r="C109" s="393">
        <f>'III. INPUT-Baseline'!L86</f>
        <v>0</v>
      </c>
      <c r="D109" s="561">
        <f>'III. INPUT-Baseline'!D106</f>
        <v>0</v>
      </c>
      <c r="E109" s="569" t="str">
        <f>IFERROR(VLOOKUP(B109, 'XIV. References'!$B$9:$D$20, 3, FALSE),"-")</f>
        <v>-</v>
      </c>
      <c r="F109" s="557"/>
      <c r="G109" s="570" t="str">
        <f t="shared" si="0"/>
        <v>-</v>
      </c>
      <c r="H109" s="34"/>
      <c r="I109" s="673"/>
      <c r="J109" s="673"/>
      <c r="K109" s="673"/>
      <c r="L109" s="673"/>
      <c r="M109" s="673"/>
      <c r="N109" s="8"/>
      <c r="O109" s="8"/>
      <c r="P109" s="8"/>
    </row>
    <row r="110" spans="2:16" ht="15" x14ac:dyDescent="0.4">
      <c r="B110" s="35"/>
      <c r="C110" s="34"/>
      <c r="D110" s="34"/>
      <c r="E110" s="34"/>
      <c r="F110" s="562" t="s">
        <v>386</v>
      </c>
      <c r="G110" s="563">
        <f>SUM(G100:G109)</f>
        <v>0</v>
      </c>
      <c r="I110" s="673"/>
      <c r="J110" s="673"/>
      <c r="K110" s="673"/>
      <c r="L110" s="673"/>
      <c r="M110" s="673"/>
      <c r="N110" s="8"/>
      <c r="O110" s="8"/>
    </row>
    <row r="111" spans="2:16" ht="13" x14ac:dyDescent="0.3">
      <c r="B111" s="46"/>
      <c r="C111" s="34"/>
      <c r="D111" s="34"/>
      <c r="E111" s="34"/>
      <c r="F111" s="34"/>
      <c r="H111" s="8"/>
      <c r="I111" s="673"/>
      <c r="J111" s="673"/>
      <c r="K111" s="673"/>
      <c r="L111" s="673"/>
      <c r="M111" s="673"/>
      <c r="N111" s="8"/>
    </row>
    <row r="112" spans="2:16" ht="15" x14ac:dyDescent="0.25">
      <c r="B112" s="573"/>
      <c r="C112" s="575"/>
      <c r="D112" s="708" t="s">
        <v>387</v>
      </c>
      <c r="E112" s="709"/>
      <c r="F112" s="34"/>
      <c r="H112" s="8"/>
      <c r="I112" s="673"/>
      <c r="J112" s="673"/>
      <c r="K112" s="673"/>
      <c r="L112" s="673"/>
      <c r="M112" s="673"/>
      <c r="N112" s="8"/>
    </row>
    <row r="113" spans="1:17" ht="25" x14ac:dyDescent="0.3">
      <c r="A113" s="4"/>
      <c r="B113" s="116"/>
      <c r="C113" s="576"/>
      <c r="D113" s="571" t="s">
        <v>388</v>
      </c>
      <c r="E113" s="358" t="s">
        <v>389</v>
      </c>
      <c r="F113" s="4"/>
      <c r="G113" s="4"/>
      <c r="H113" s="8"/>
      <c r="I113" s="673"/>
      <c r="J113" s="673"/>
      <c r="K113" s="673"/>
      <c r="L113" s="673"/>
      <c r="M113" s="673"/>
      <c r="N113" s="8"/>
    </row>
    <row r="114" spans="1:17" ht="13" x14ac:dyDescent="0.3">
      <c r="A114" s="4"/>
      <c r="B114" s="574"/>
      <c r="C114" s="577"/>
      <c r="D114" s="572" t="str">
        <f>IF('III. INPUT-Baseline'!C22="", "", HLOOKUP('III. INPUT-Baseline'!C22, 'XIV. References'!B88:U94, 7, FALSE))</f>
        <v/>
      </c>
      <c r="E114" s="456"/>
      <c r="F114" s="710"/>
      <c r="G114" s="710"/>
      <c r="H114" s="8"/>
      <c r="I114" s="673"/>
      <c r="J114" s="673"/>
      <c r="K114" s="673"/>
      <c r="L114" s="673"/>
      <c r="M114" s="673"/>
      <c r="N114" s="8"/>
    </row>
    <row r="115" spans="1:17" ht="15" customHeight="1" x14ac:dyDescent="0.3">
      <c r="A115" s="4"/>
      <c r="B115" s="4"/>
      <c r="C115" s="4"/>
      <c r="F115" s="49"/>
      <c r="G115" s="4"/>
    </row>
    <row r="116" spans="1:17" ht="46.5" customHeight="1" x14ac:dyDescent="0.3">
      <c r="A116" s="4"/>
      <c r="B116" s="691" t="s">
        <v>390</v>
      </c>
      <c r="C116" s="684"/>
      <c r="D116" s="684"/>
      <c r="E116" s="684"/>
      <c r="F116" s="684"/>
      <c r="G116" s="684"/>
    </row>
    <row r="117" spans="1:17" ht="13" x14ac:dyDescent="0.3">
      <c r="A117" s="4"/>
    </row>
    <row r="118" spans="1:17" x14ac:dyDescent="0.25">
      <c r="C118" s="49"/>
      <c r="D118" s="49"/>
      <c r="E118" s="49"/>
      <c r="F118" s="49"/>
      <c r="G118" s="49"/>
      <c r="H118" s="49"/>
      <c r="I118" s="49"/>
      <c r="J118" s="49"/>
      <c r="K118" s="49"/>
      <c r="L118" s="49"/>
      <c r="M118" s="49"/>
    </row>
    <row r="119" spans="1:17" s="26" customFormat="1" ht="15" customHeight="1" x14ac:dyDescent="0.35">
      <c r="B119" s="10" t="s">
        <v>391</v>
      </c>
      <c r="C119" s="44"/>
      <c r="D119" s="44"/>
      <c r="E119" s="44"/>
      <c r="F119" s="44"/>
      <c r="G119" s="44"/>
      <c r="L119" s="44"/>
      <c r="M119" s="44"/>
    </row>
    <row r="120" spans="1:17" ht="60.75" customHeight="1" x14ac:dyDescent="0.25">
      <c r="B120" s="684" t="s">
        <v>392</v>
      </c>
      <c r="C120" s="684"/>
      <c r="D120" s="684"/>
      <c r="E120" s="684"/>
      <c r="F120" s="684"/>
      <c r="G120" s="49"/>
      <c r="H120" s="673" t="s">
        <v>241</v>
      </c>
      <c r="I120" s="673"/>
      <c r="J120" s="673"/>
      <c r="K120" s="673"/>
      <c r="L120" s="673"/>
    </row>
    <row r="121" spans="1:17" ht="13" thickBot="1" x14ac:dyDescent="0.3">
      <c r="G121" s="49"/>
      <c r="H121" s="673"/>
      <c r="I121" s="673"/>
      <c r="J121" s="673"/>
      <c r="K121" s="673"/>
      <c r="L121" s="673"/>
    </row>
    <row r="122" spans="1:17" ht="26.5" thickBot="1" x14ac:dyDescent="0.3">
      <c r="A122" s="50"/>
      <c r="B122" s="548" t="s">
        <v>393</v>
      </c>
      <c r="C122" s="542" t="s">
        <v>394</v>
      </c>
      <c r="E122" s="706" t="s">
        <v>395</v>
      </c>
      <c r="F122" s="707"/>
      <c r="G122" s="51"/>
      <c r="H122" s="673"/>
      <c r="I122" s="673"/>
      <c r="J122" s="673"/>
      <c r="K122" s="673"/>
      <c r="L122" s="673"/>
      <c r="N122" s="50"/>
      <c r="O122" s="50"/>
      <c r="P122" s="50"/>
      <c r="Q122" s="50"/>
    </row>
    <row r="123" spans="1:17" ht="13.5" thickBot="1" x14ac:dyDescent="0.35">
      <c r="B123" s="551"/>
      <c r="C123" s="561">
        <f>IF(B123&gt;0, VLOOKUP(B123, 'XIV. References'!$B$88:$U$104, MATCH('III. INPUT-Baseline'!$C$22, 'XIV. References'!$B$88:$U$88), FALSE), 0)</f>
        <v>0</v>
      </c>
      <c r="E123" s="52" t="s">
        <v>260</v>
      </c>
      <c r="F123" s="52" t="s">
        <v>396</v>
      </c>
      <c r="G123" s="49"/>
      <c r="H123" s="673"/>
      <c r="I123" s="673"/>
      <c r="J123" s="673"/>
      <c r="K123" s="673"/>
      <c r="L123" s="673"/>
    </row>
    <row r="124" spans="1:17" x14ac:dyDescent="0.25">
      <c r="B124" s="551"/>
      <c r="C124" s="561">
        <f>IF(B124&gt;0, VLOOKUP(B124, 'XIV. References'!$B$88:$U$104, MATCH('III. INPUT-Baseline'!$C$22, 'XIV. References'!$B$88:$U$88), FALSE), 0)</f>
        <v>0</v>
      </c>
      <c r="E124" s="383" t="s">
        <v>259</v>
      </c>
      <c r="F124" s="125" t="s">
        <v>262</v>
      </c>
      <c r="G124" s="49"/>
      <c r="H124" s="673"/>
      <c r="I124" s="673"/>
      <c r="J124" s="673"/>
      <c r="K124" s="673"/>
      <c r="L124" s="673"/>
    </row>
    <row r="125" spans="1:17" ht="26" x14ac:dyDescent="0.25">
      <c r="B125" s="548" t="s">
        <v>257</v>
      </c>
      <c r="C125" s="542" t="s">
        <v>397</v>
      </c>
      <c r="E125" s="377" t="s">
        <v>263</v>
      </c>
      <c r="F125" s="126" t="s">
        <v>264</v>
      </c>
      <c r="G125" s="24"/>
      <c r="H125" s="673"/>
      <c r="I125" s="673"/>
      <c r="J125" s="673"/>
      <c r="K125" s="673"/>
      <c r="L125" s="673"/>
    </row>
    <row r="126" spans="1:17" x14ac:dyDescent="0.25">
      <c r="B126" s="551"/>
      <c r="C126" s="561">
        <f>IF(B126&gt;0, VLOOKUP(B126, 'XIV. References'!$B$88:$U$104, MATCH('III. INPUT-Baseline'!$C$22, 'XIV. References'!$B$88:$U$88), FALSE), 0)</f>
        <v>0</v>
      </c>
      <c r="E126" s="384" t="s">
        <v>265</v>
      </c>
      <c r="F126" s="126" t="s">
        <v>266</v>
      </c>
      <c r="G126" s="49"/>
      <c r="H126" s="673"/>
      <c r="I126" s="673"/>
      <c r="J126" s="673"/>
      <c r="K126" s="673"/>
      <c r="L126" s="673"/>
    </row>
    <row r="127" spans="1:17" x14ac:dyDescent="0.25">
      <c r="B127" s="551"/>
      <c r="C127" s="561">
        <f>IF(B127&gt;0, VLOOKUP(B127, 'XIV. References'!$B$88:$U$104, MATCH('III. INPUT-Baseline'!$C$22, 'XIV. References'!$B$88:$U$88), FALSE), 0)</f>
        <v>0</v>
      </c>
      <c r="E127" s="53"/>
      <c r="F127" s="126" t="s">
        <v>267</v>
      </c>
      <c r="G127" s="49"/>
      <c r="H127" s="673"/>
      <c r="I127" s="673"/>
      <c r="J127" s="673"/>
      <c r="K127" s="673"/>
      <c r="L127" s="673"/>
    </row>
    <row r="128" spans="1:17" ht="25" x14ac:dyDescent="0.25">
      <c r="B128" s="551"/>
      <c r="C128" s="561">
        <f>IF(B128&gt;0, VLOOKUP(B128, 'XIV. References'!$B$88:$U$104, MATCH('III. INPUT-Baseline'!$C$22, 'XIV. References'!$B$88:$U$88), FALSE), 0)</f>
        <v>0</v>
      </c>
      <c r="E128" s="53"/>
      <c r="F128" s="126" t="s">
        <v>268</v>
      </c>
      <c r="G128" s="49"/>
      <c r="H128" s="673"/>
      <c r="I128" s="673"/>
      <c r="J128" s="673"/>
      <c r="K128" s="673"/>
      <c r="L128" s="673"/>
    </row>
    <row r="129" spans="1:16" ht="25" x14ac:dyDescent="0.25">
      <c r="B129" s="551"/>
      <c r="C129" s="561">
        <f>IF(B129&gt;0, VLOOKUP(B129, 'XIV. References'!$B$88:$U$104, MATCH('III. INPUT-Baseline'!$C$22, 'XIV. References'!$B$88:$U$88), FALSE), 0)</f>
        <v>0</v>
      </c>
      <c r="E129" s="53"/>
      <c r="F129" s="378" t="s">
        <v>269</v>
      </c>
      <c r="G129" s="49"/>
      <c r="H129" s="673"/>
      <c r="I129" s="673"/>
      <c r="J129" s="673"/>
      <c r="K129" s="673"/>
      <c r="L129" s="673"/>
    </row>
    <row r="130" spans="1:16" ht="25" x14ac:dyDescent="0.25">
      <c r="B130" s="551"/>
      <c r="C130" s="561">
        <f>IF(B130&gt;0, VLOOKUP(B130, 'XIV. References'!$B$88:$U$104, MATCH('III. INPUT-Baseline'!$C$22, 'XIV. References'!$B$88:$U$88), FALSE), 0)</f>
        <v>0</v>
      </c>
      <c r="E130" s="53"/>
      <c r="F130" s="126" t="s">
        <v>270</v>
      </c>
      <c r="G130" s="49"/>
      <c r="H130" s="673"/>
      <c r="I130" s="673"/>
      <c r="J130" s="673"/>
      <c r="K130" s="673"/>
      <c r="L130" s="673"/>
    </row>
    <row r="131" spans="1:16" ht="25" x14ac:dyDescent="0.25">
      <c r="B131" s="551"/>
      <c r="C131" s="561">
        <f>IF(B131&gt;0, VLOOKUP(B131, 'XIV. References'!$B$88:$U$104, MATCH('III. INPUT-Baseline'!$C$22, 'XIV. References'!$B$88:$U$88), FALSE), 0)</f>
        <v>0</v>
      </c>
      <c r="E131" s="53"/>
      <c r="F131" s="126" t="s">
        <v>271</v>
      </c>
      <c r="G131" s="49"/>
      <c r="H131" s="673"/>
      <c r="I131" s="673"/>
      <c r="J131" s="673"/>
      <c r="K131" s="673"/>
      <c r="L131" s="673"/>
    </row>
    <row r="132" spans="1:16" x14ac:dyDescent="0.25">
      <c r="B132" s="551"/>
      <c r="C132" s="561">
        <f>IF(B132&gt;0, VLOOKUP(B132, 'XIV. References'!$B$88:$U$104, MATCH('III. INPUT-Baseline'!$C$22, 'XIV. References'!$B$88:$U$88), FALSE), 0)</f>
        <v>0</v>
      </c>
      <c r="E132" s="53"/>
      <c r="F132" s="126" t="s">
        <v>272</v>
      </c>
      <c r="G132" s="49"/>
      <c r="H132" s="673"/>
      <c r="I132" s="673"/>
      <c r="J132" s="673"/>
      <c r="K132" s="673"/>
      <c r="L132" s="673"/>
    </row>
    <row r="133" spans="1:16" ht="25" x14ac:dyDescent="0.25">
      <c r="B133" s="551"/>
      <c r="C133" s="561">
        <f>IF(B133&gt;0, VLOOKUP(B133, 'XIV. References'!$B$88:$U$104, MATCH('III. INPUT-Baseline'!$C$22, 'XIV. References'!$B$88:$U$88), FALSE), 0)</f>
        <v>0</v>
      </c>
      <c r="E133" s="53"/>
      <c r="F133" s="126" t="s">
        <v>273</v>
      </c>
      <c r="G133" s="49"/>
      <c r="H133" s="673"/>
      <c r="I133" s="673"/>
      <c r="J133" s="673"/>
      <c r="K133" s="673"/>
      <c r="L133" s="673"/>
    </row>
    <row r="134" spans="1:16" x14ac:dyDescent="0.25">
      <c r="B134" s="551"/>
      <c r="C134" s="561">
        <f>IF(B134&gt;0, VLOOKUP(B134, 'XIV. References'!$B$88:$U$104, MATCH('III. INPUT-Baseline'!$C$22, 'XIV. References'!$B$88:$U$88), FALSE), 0)</f>
        <v>0</v>
      </c>
      <c r="E134" s="53"/>
      <c r="F134" s="126" t="s">
        <v>274</v>
      </c>
      <c r="G134" s="49"/>
      <c r="H134" s="673"/>
      <c r="I134" s="673"/>
      <c r="J134" s="673"/>
      <c r="K134" s="673"/>
      <c r="L134" s="673"/>
    </row>
    <row r="135" spans="1:16" ht="13" thickBot="1" x14ac:dyDescent="0.3">
      <c r="B135" s="551"/>
      <c r="C135" s="561">
        <f>IF(B135&gt;0, VLOOKUP(B135, 'XIV. References'!$B$88:$U$104, MATCH('III. INPUT-Baseline'!$C$22, 'XIV. References'!$B$88:$U$88), FALSE), 0)</f>
        <v>0</v>
      </c>
      <c r="E135" s="385"/>
      <c r="F135" s="127" t="s">
        <v>275</v>
      </c>
      <c r="G135" s="49"/>
      <c r="H135" s="673"/>
      <c r="I135" s="673"/>
      <c r="J135" s="673"/>
      <c r="K135" s="673"/>
      <c r="L135" s="673"/>
    </row>
    <row r="136" spans="1:16" x14ac:dyDescent="0.25">
      <c r="C136" s="54"/>
      <c r="D136" s="49"/>
      <c r="F136" s="49"/>
      <c r="G136" s="49"/>
      <c r="H136" s="49"/>
      <c r="I136" s="49"/>
      <c r="J136" s="49"/>
      <c r="K136" s="49"/>
      <c r="L136" s="49"/>
      <c r="M136" s="49"/>
    </row>
    <row r="137" spans="1:16" s="26" customFormat="1" ht="15.5" x14ac:dyDescent="0.35">
      <c r="B137" s="10" t="s">
        <v>398</v>
      </c>
      <c r="C137" s="44"/>
      <c r="D137" s="44"/>
      <c r="E137" s="44"/>
      <c r="F137" s="44"/>
      <c r="G137" s="44"/>
      <c r="H137" s="44"/>
      <c r="I137" s="44"/>
      <c r="J137" s="44"/>
      <c r="K137" s="44"/>
      <c r="L137" s="44"/>
      <c r="M137" s="44"/>
    </row>
    <row r="138" spans="1:16" ht="26.25" customHeight="1" x14ac:dyDescent="0.25">
      <c r="B138" s="671" t="s">
        <v>399</v>
      </c>
      <c r="C138" s="671"/>
      <c r="D138" s="671"/>
      <c r="E138" s="671"/>
      <c r="F138" s="671"/>
      <c r="G138" s="671"/>
      <c r="H138" s="671"/>
      <c r="I138" s="671"/>
      <c r="J138" s="671"/>
      <c r="K138" s="671"/>
      <c r="L138" s="671"/>
      <c r="M138" s="49"/>
    </row>
    <row r="139" spans="1:16" ht="26" x14ac:dyDescent="0.3">
      <c r="A139" s="4"/>
      <c r="B139" s="542" t="s">
        <v>289</v>
      </c>
      <c r="C139" s="544">
        <f>'III. INPUT-Baseline'!B54</f>
        <v>0</v>
      </c>
      <c r="D139" s="544">
        <f>'III. INPUT-Baseline'!B55</f>
        <v>0</v>
      </c>
      <c r="E139" s="544">
        <f>'III. INPUT-Baseline'!E164</f>
        <v>0</v>
      </c>
      <c r="F139" s="544">
        <f>'III. INPUT-Baseline'!F164</f>
        <v>0</v>
      </c>
      <c r="G139" s="544">
        <f>'III. INPUT-Baseline'!G164</f>
        <v>0</v>
      </c>
      <c r="H139" s="544">
        <f>'III. INPUT-Baseline'!H164</f>
        <v>0</v>
      </c>
      <c r="I139" s="544">
        <f>'III. INPUT-Baseline'!I164</f>
        <v>0</v>
      </c>
      <c r="J139" s="544">
        <f>'III. INPUT-Baseline'!J164</f>
        <v>0</v>
      </c>
      <c r="K139" s="544">
        <f>'III. INPUT-Baseline'!K164</f>
        <v>0</v>
      </c>
      <c r="L139" s="544">
        <f>'III. INPUT-Baseline'!L164</f>
        <v>0</v>
      </c>
      <c r="M139" s="55"/>
      <c r="N139" s="55"/>
      <c r="O139" s="4"/>
      <c r="P139" s="4"/>
    </row>
    <row r="140" spans="1:16" ht="13" x14ac:dyDescent="0.25">
      <c r="B140" s="552">
        <f>B123</f>
        <v>0</v>
      </c>
      <c r="C140" s="33"/>
      <c r="D140" s="33"/>
      <c r="E140" s="33"/>
      <c r="F140" s="33"/>
      <c r="G140" s="33"/>
      <c r="H140" s="33"/>
      <c r="I140" s="33"/>
      <c r="J140" s="33"/>
      <c r="K140" s="33"/>
      <c r="L140" s="33"/>
      <c r="M140" s="56"/>
      <c r="N140" s="56"/>
    </row>
    <row r="141" spans="1:16" ht="13" x14ac:dyDescent="0.25">
      <c r="B141" s="552">
        <f>B124</f>
        <v>0</v>
      </c>
      <c r="C141" s="33"/>
      <c r="D141" s="33"/>
      <c r="E141" s="33"/>
      <c r="F141" s="33"/>
      <c r="G141" s="33"/>
      <c r="H141" s="33"/>
      <c r="I141" s="33"/>
      <c r="J141" s="33"/>
      <c r="K141" s="33"/>
      <c r="L141" s="33"/>
      <c r="M141" s="56"/>
      <c r="N141" s="56"/>
    </row>
    <row r="142" spans="1:16" ht="13" x14ac:dyDescent="0.25">
      <c r="B142" s="57"/>
      <c r="C142" s="49"/>
      <c r="D142" s="49"/>
      <c r="E142" s="49"/>
      <c r="F142" s="49"/>
      <c r="G142" s="49"/>
      <c r="H142" s="49"/>
      <c r="I142" s="49"/>
      <c r="J142" s="49"/>
      <c r="K142" s="49"/>
      <c r="L142" s="564"/>
    </row>
    <row r="143" spans="1:16" ht="26" x14ac:dyDescent="0.3">
      <c r="A143" s="4"/>
      <c r="B143" s="542" t="s">
        <v>290</v>
      </c>
      <c r="C143" s="544">
        <f>'III. INPUT-Baseline'!B54</f>
        <v>0</v>
      </c>
      <c r="D143" s="544">
        <f>'III. INPUT-Baseline'!B55</f>
        <v>0</v>
      </c>
      <c r="E143" s="544">
        <f t="shared" ref="E143:L143" si="1">E139</f>
        <v>0</v>
      </c>
      <c r="F143" s="544">
        <f t="shared" si="1"/>
        <v>0</v>
      </c>
      <c r="G143" s="544">
        <f t="shared" si="1"/>
        <v>0</v>
      </c>
      <c r="H143" s="544">
        <f t="shared" si="1"/>
        <v>0</v>
      </c>
      <c r="I143" s="544">
        <f t="shared" si="1"/>
        <v>0</v>
      </c>
      <c r="J143" s="544">
        <f t="shared" si="1"/>
        <v>0</v>
      </c>
      <c r="K143" s="544">
        <f t="shared" si="1"/>
        <v>0</v>
      </c>
      <c r="L143" s="544">
        <f t="shared" si="1"/>
        <v>0</v>
      </c>
      <c r="M143" s="55"/>
      <c r="N143" s="55"/>
      <c r="O143" s="4"/>
      <c r="P143" s="4"/>
    </row>
    <row r="144" spans="1:16" ht="13" x14ac:dyDescent="0.25">
      <c r="B144" s="552">
        <f t="shared" ref="B144:B153" si="2">B126</f>
        <v>0</v>
      </c>
      <c r="C144" s="33"/>
      <c r="D144" s="33"/>
      <c r="E144" s="33"/>
      <c r="F144" s="33"/>
      <c r="G144" s="33"/>
      <c r="H144" s="33"/>
      <c r="I144" s="33"/>
      <c r="J144" s="33"/>
      <c r="K144" s="33"/>
      <c r="L144" s="33"/>
      <c r="M144" s="56"/>
      <c r="N144" s="56"/>
    </row>
    <row r="145" spans="2:15" ht="13" x14ac:dyDescent="0.25">
      <c r="B145" s="552">
        <f>B127</f>
        <v>0</v>
      </c>
      <c r="C145" s="33"/>
      <c r="D145" s="33"/>
      <c r="E145" s="33"/>
      <c r="F145" s="33"/>
      <c r="G145" s="33"/>
      <c r="H145" s="33"/>
      <c r="I145" s="33"/>
      <c r="J145" s="33"/>
      <c r="K145" s="33"/>
      <c r="L145" s="33"/>
      <c r="M145" s="56"/>
      <c r="N145" s="56"/>
    </row>
    <row r="146" spans="2:15" ht="13" x14ac:dyDescent="0.25">
      <c r="B146" s="552">
        <f>B128</f>
        <v>0</v>
      </c>
      <c r="C146" s="33"/>
      <c r="D146" s="33"/>
      <c r="E146" s="33"/>
      <c r="F146" s="33"/>
      <c r="G146" s="33"/>
      <c r="H146" s="33"/>
      <c r="I146" s="33"/>
      <c r="J146" s="33"/>
      <c r="K146" s="33"/>
      <c r="L146" s="33"/>
      <c r="M146" s="56"/>
      <c r="N146" s="56"/>
    </row>
    <row r="147" spans="2:15" ht="13" x14ac:dyDescent="0.25">
      <c r="B147" s="552">
        <f t="shared" si="2"/>
        <v>0</v>
      </c>
      <c r="C147" s="33"/>
      <c r="D147" s="33"/>
      <c r="E147" s="33"/>
      <c r="F147" s="33"/>
      <c r="G147" s="33"/>
      <c r="H147" s="33"/>
      <c r="I147" s="33"/>
      <c r="J147" s="33"/>
      <c r="K147" s="33"/>
      <c r="L147" s="33"/>
      <c r="M147" s="56"/>
      <c r="N147" s="56"/>
    </row>
    <row r="148" spans="2:15" ht="13" x14ac:dyDescent="0.25">
      <c r="B148" s="552">
        <f t="shared" si="2"/>
        <v>0</v>
      </c>
      <c r="C148" s="33"/>
      <c r="D148" s="33"/>
      <c r="E148" s="33"/>
      <c r="F148" s="33"/>
      <c r="G148" s="33"/>
      <c r="H148" s="33"/>
      <c r="I148" s="33"/>
      <c r="J148" s="33"/>
      <c r="K148" s="33"/>
      <c r="L148" s="33"/>
      <c r="M148" s="56"/>
      <c r="N148" s="56"/>
    </row>
    <row r="149" spans="2:15" ht="13" x14ac:dyDescent="0.25">
      <c r="B149" s="552">
        <f t="shared" si="2"/>
        <v>0</v>
      </c>
      <c r="C149" s="33"/>
      <c r="D149" s="33"/>
      <c r="E149" s="33"/>
      <c r="F149" s="33"/>
      <c r="G149" s="33"/>
      <c r="H149" s="33"/>
      <c r="I149" s="33"/>
      <c r="J149" s="33"/>
      <c r="K149" s="33"/>
      <c r="L149" s="33"/>
      <c r="M149" s="56"/>
      <c r="N149" s="56"/>
    </row>
    <row r="150" spans="2:15" ht="13" x14ac:dyDescent="0.25">
      <c r="B150" s="552">
        <f t="shared" si="2"/>
        <v>0</v>
      </c>
      <c r="C150" s="33"/>
      <c r="D150" s="33"/>
      <c r="E150" s="33"/>
      <c r="F150" s="33"/>
      <c r="G150" s="33"/>
      <c r="H150" s="33"/>
      <c r="I150" s="33"/>
      <c r="J150" s="33"/>
      <c r="K150" s="33"/>
      <c r="L150" s="33"/>
      <c r="M150" s="56"/>
      <c r="N150" s="56"/>
    </row>
    <row r="151" spans="2:15" ht="13" x14ac:dyDescent="0.25">
      <c r="B151" s="552">
        <f t="shared" si="2"/>
        <v>0</v>
      </c>
      <c r="C151" s="33"/>
      <c r="D151" s="33"/>
      <c r="E151" s="33"/>
      <c r="F151" s="33"/>
      <c r="G151" s="33"/>
      <c r="H151" s="33"/>
      <c r="I151" s="33"/>
      <c r="J151" s="33"/>
      <c r="K151" s="33"/>
      <c r="L151" s="33"/>
      <c r="M151" s="56"/>
      <c r="N151" s="56"/>
    </row>
    <row r="152" spans="2:15" ht="13" x14ac:dyDescent="0.25">
      <c r="B152" s="552">
        <f t="shared" si="2"/>
        <v>0</v>
      </c>
      <c r="C152" s="33"/>
      <c r="D152" s="33"/>
      <c r="E152" s="33"/>
      <c r="F152" s="33"/>
      <c r="G152" s="33"/>
      <c r="H152" s="33"/>
      <c r="I152" s="33"/>
      <c r="J152" s="33"/>
      <c r="K152" s="33"/>
      <c r="L152" s="33"/>
      <c r="M152" s="56"/>
      <c r="N152" s="56"/>
    </row>
    <row r="153" spans="2:15" ht="13" x14ac:dyDescent="0.25">
      <c r="B153" s="552">
        <f t="shared" si="2"/>
        <v>0</v>
      </c>
      <c r="C153" s="33"/>
      <c r="D153" s="33"/>
      <c r="E153" s="33"/>
      <c r="F153" s="33"/>
      <c r="G153" s="33"/>
      <c r="H153" s="33"/>
      <c r="I153" s="33"/>
      <c r="J153" s="33"/>
      <c r="K153" s="33"/>
      <c r="L153" s="33"/>
      <c r="M153" s="56"/>
      <c r="N153" s="56"/>
    </row>
    <row r="154" spans="2:15" ht="13" x14ac:dyDescent="0.25">
      <c r="B154" s="57"/>
      <c r="C154" s="56"/>
      <c r="D154" s="56"/>
      <c r="E154" s="56"/>
      <c r="F154" s="56"/>
      <c r="G154" s="56"/>
      <c r="H154" s="56"/>
      <c r="I154" s="56"/>
      <c r="J154" s="56"/>
      <c r="K154" s="56"/>
      <c r="L154" s="56"/>
      <c r="M154" s="56"/>
      <c r="N154" s="56"/>
      <c r="O154" s="56"/>
    </row>
    <row r="155" spans="2:15" x14ac:dyDescent="0.25">
      <c r="C155" s="49"/>
      <c r="D155" s="49"/>
      <c r="E155" s="49"/>
      <c r="F155" s="49"/>
      <c r="G155" s="49"/>
      <c r="H155" s="49"/>
      <c r="I155" s="49"/>
      <c r="J155" s="49"/>
      <c r="K155" s="49"/>
      <c r="L155" s="49"/>
      <c r="M155" s="49"/>
    </row>
    <row r="156" spans="2:15" s="26" customFormat="1" ht="15.5" x14ac:dyDescent="0.35">
      <c r="B156" s="10" t="s">
        <v>400</v>
      </c>
      <c r="C156" s="58"/>
      <c r="E156" s="44"/>
      <c r="F156" s="44"/>
      <c r="G156" s="44"/>
      <c r="H156" s="44"/>
      <c r="I156" s="44"/>
      <c r="J156" s="44"/>
      <c r="K156" s="44"/>
      <c r="L156" s="44"/>
      <c r="M156" s="44"/>
    </row>
    <row r="157" spans="2:15" ht="21.75" customHeight="1" x14ac:dyDescent="0.25">
      <c r="B157" s="11" t="s">
        <v>401</v>
      </c>
      <c r="C157" s="54"/>
      <c r="D157" s="56"/>
      <c r="E157" s="49"/>
      <c r="F157" s="49"/>
      <c r="G157" s="49"/>
      <c r="H157" s="49"/>
      <c r="I157" s="49"/>
      <c r="J157" s="49"/>
      <c r="K157" s="49"/>
      <c r="L157" s="49"/>
      <c r="M157" s="49"/>
    </row>
    <row r="158" spans="2:15" x14ac:dyDescent="0.25">
      <c r="C158" s="49"/>
      <c r="D158" s="49"/>
      <c r="E158" s="49"/>
      <c r="F158" s="49"/>
      <c r="G158" s="49"/>
      <c r="H158" s="49"/>
      <c r="I158" s="49"/>
      <c r="J158" s="49"/>
      <c r="K158" s="49"/>
      <c r="L158" s="49"/>
      <c r="M158" s="49"/>
    </row>
    <row r="159" spans="2:15" x14ac:dyDescent="0.25">
      <c r="B159" s="673" t="s">
        <v>241</v>
      </c>
      <c r="C159" s="673"/>
      <c r="D159" s="673"/>
      <c r="E159" s="673"/>
      <c r="F159" s="6"/>
      <c r="G159" s="6"/>
      <c r="H159" s="6"/>
      <c r="I159" s="6"/>
      <c r="J159" s="6"/>
      <c r="K159" s="6"/>
      <c r="L159" s="6"/>
      <c r="M159" s="6"/>
    </row>
    <row r="160" spans="2:15" x14ac:dyDescent="0.25">
      <c r="B160" s="673"/>
      <c r="C160" s="673"/>
      <c r="D160" s="673"/>
      <c r="E160" s="673"/>
      <c r="F160" s="6"/>
      <c r="G160" s="6"/>
      <c r="H160" s="6"/>
      <c r="I160" s="6"/>
      <c r="J160" s="6"/>
      <c r="K160" s="6"/>
      <c r="L160" s="6"/>
      <c r="M160" s="6"/>
    </row>
    <row r="161" spans="2:13" x14ac:dyDescent="0.25">
      <c r="B161" s="673"/>
      <c r="C161" s="673"/>
      <c r="D161" s="673"/>
      <c r="E161" s="673"/>
      <c r="F161" s="6"/>
      <c r="G161" s="6"/>
      <c r="H161" s="6"/>
      <c r="I161" s="6"/>
      <c r="J161" s="6"/>
      <c r="K161" s="6"/>
      <c r="L161" s="6"/>
      <c r="M161" s="6"/>
    </row>
    <row r="162" spans="2:13" x14ac:dyDescent="0.25">
      <c r="B162" s="673"/>
      <c r="C162" s="673"/>
      <c r="D162" s="673"/>
      <c r="E162" s="673"/>
      <c r="F162" s="6"/>
      <c r="G162" s="6"/>
      <c r="H162" s="6"/>
      <c r="I162" s="6"/>
      <c r="J162" s="6"/>
      <c r="K162" s="6"/>
      <c r="L162" s="6"/>
      <c r="M162" s="6"/>
    </row>
    <row r="163" spans="2:13" x14ac:dyDescent="0.25">
      <c r="B163" s="673"/>
      <c r="C163" s="673"/>
      <c r="D163" s="673"/>
      <c r="E163" s="673"/>
      <c r="F163" s="6"/>
      <c r="G163" s="6"/>
      <c r="H163" s="6"/>
      <c r="I163" s="6"/>
      <c r="J163" s="6"/>
      <c r="K163" s="6"/>
      <c r="L163" s="6"/>
      <c r="M163" s="6"/>
    </row>
    <row r="164" spans="2:13" x14ac:dyDescent="0.25">
      <c r="B164" s="673"/>
      <c r="C164" s="673"/>
      <c r="D164" s="673"/>
      <c r="E164" s="673"/>
      <c r="F164" s="6"/>
      <c r="G164" s="6"/>
      <c r="H164" s="6"/>
      <c r="I164" s="6"/>
      <c r="J164" s="6"/>
      <c r="K164" s="6"/>
      <c r="L164" s="6"/>
      <c r="M164" s="6"/>
    </row>
    <row r="165" spans="2:13" x14ac:dyDescent="0.25">
      <c r="B165" s="673"/>
      <c r="C165" s="673"/>
      <c r="D165" s="673"/>
      <c r="E165" s="673"/>
      <c r="F165" s="6"/>
      <c r="G165" s="6"/>
      <c r="H165" s="6"/>
      <c r="I165" s="6"/>
      <c r="J165" s="6"/>
      <c r="K165" s="6"/>
      <c r="L165" s="6"/>
      <c r="M165" s="6"/>
    </row>
    <row r="166" spans="2:13" x14ac:dyDescent="0.25">
      <c r="B166" s="673"/>
      <c r="C166" s="673"/>
      <c r="D166" s="673"/>
      <c r="E166" s="673"/>
      <c r="F166" s="6"/>
      <c r="G166" s="6"/>
      <c r="H166" s="6"/>
      <c r="I166" s="6"/>
      <c r="J166" s="6"/>
      <c r="K166" s="6"/>
      <c r="L166" s="6"/>
      <c r="M166" s="6"/>
    </row>
    <row r="167" spans="2:13" x14ac:dyDescent="0.25">
      <c r="B167" s="673"/>
      <c r="C167" s="673"/>
      <c r="D167" s="673"/>
      <c r="E167" s="673"/>
      <c r="F167" s="6"/>
      <c r="G167" s="6"/>
      <c r="H167" s="6"/>
      <c r="I167" s="6"/>
      <c r="J167" s="6"/>
      <c r="K167" s="6"/>
      <c r="L167" s="6"/>
      <c r="M167" s="6"/>
    </row>
    <row r="168" spans="2:13" x14ac:dyDescent="0.25">
      <c r="B168" s="673"/>
      <c r="C168" s="673"/>
      <c r="D168" s="673"/>
      <c r="E168" s="673"/>
    </row>
    <row r="170" spans="2:13" s="26" customFormat="1" ht="15.5" x14ac:dyDescent="0.35">
      <c r="B170" s="10" t="s">
        <v>402</v>
      </c>
      <c r="C170" s="59"/>
      <c r="D170" s="59"/>
      <c r="E170" s="59"/>
      <c r="F170" s="28"/>
    </row>
    <row r="171" spans="2:13" ht="13" x14ac:dyDescent="0.3">
      <c r="B171" s="14"/>
      <c r="F171" s="39"/>
    </row>
    <row r="172" spans="2:13" ht="13" x14ac:dyDescent="0.3">
      <c r="B172" s="700" t="s">
        <v>403</v>
      </c>
      <c r="C172" s="701"/>
      <c r="D172" s="701"/>
      <c r="E172" s="701"/>
      <c r="F172" s="39"/>
    </row>
    <row r="173" spans="2:13" ht="36.75" customHeight="1" thickBot="1" x14ac:dyDescent="0.3">
      <c r="B173" s="671" t="s">
        <v>404</v>
      </c>
      <c r="C173" s="671"/>
      <c r="D173" s="671"/>
      <c r="E173" s="671"/>
      <c r="F173" s="32"/>
    </row>
    <row r="174" spans="2:13" ht="15" x14ac:dyDescent="0.4">
      <c r="B174" s="136" t="s">
        <v>294</v>
      </c>
      <c r="C174" s="136" t="s">
        <v>295</v>
      </c>
      <c r="D174" s="136" t="s">
        <v>296</v>
      </c>
      <c r="E174" s="136" t="s">
        <v>297</v>
      </c>
      <c r="F174" s="60"/>
      <c r="G174" s="399" t="s">
        <v>298</v>
      </c>
      <c r="H174" s="402"/>
    </row>
    <row r="175" spans="2:13" x14ac:dyDescent="0.25">
      <c r="B175" s="38"/>
      <c r="C175" s="33"/>
      <c r="D175" s="33"/>
      <c r="E175" s="397">
        <f>IF(ISBLANK(C175), 0, VLOOKUP(C175, 'XIV. References'!$B$191:$D$197, 3, FALSE))</f>
        <v>0</v>
      </c>
      <c r="F175" s="39"/>
      <c r="G175" s="400" t="s">
        <v>299</v>
      </c>
      <c r="H175" s="403"/>
    </row>
    <row r="176" spans="2:13" x14ac:dyDescent="0.25">
      <c r="B176" s="38"/>
      <c r="C176" s="33"/>
      <c r="D176" s="33"/>
      <c r="E176" s="397">
        <f>IF(ISBLANK(C176), 0, VLOOKUP(C176, 'XIV. References'!$B$191:$D$197, 3, FALSE))</f>
        <v>0</v>
      </c>
      <c r="F176" s="39"/>
      <c r="G176" s="400" t="s">
        <v>300</v>
      </c>
      <c r="H176" s="403"/>
    </row>
    <row r="177" spans="2:8" x14ac:dyDescent="0.25">
      <c r="B177" s="38"/>
      <c r="C177" s="33"/>
      <c r="D177" s="33"/>
      <c r="E177" s="397">
        <f>IF(ISBLANK(C177), 0, VLOOKUP(C177, 'XIV. References'!$B$191:$D$197, 3, FALSE))</f>
        <v>0</v>
      </c>
      <c r="F177" s="39"/>
      <c r="G177" s="400" t="s">
        <v>301</v>
      </c>
      <c r="H177" s="403"/>
    </row>
    <row r="178" spans="2:8" x14ac:dyDescent="0.25">
      <c r="B178" s="38"/>
      <c r="C178" s="33"/>
      <c r="D178" s="33"/>
      <c r="E178" s="397">
        <f>IF(ISBLANK(C178), 0, VLOOKUP(C178, 'XIV. References'!$B$191:$D$197, 3, FALSE))</f>
        <v>0</v>
      </c>
      <c r="F178" s="39"/>
      <c r="G178" s="400" t="s">
        <v>302</v>
      </c>
      <c r="H178" s="403"/>
    </row>
    <row r="179" spans="2:8" ht="15" x14ac:dyDescent="0.4">
      <c r="B179" s="136" t="s">
        <v>294</v>
      </c>
      <c r="C179" s="136" t="s">
        <v>303</v>
      </c>
      <c r="D179" s="136" t="s">
        <v>296</v>
      </c>
      <c r="E179" s="136" t="s">
        <v>297</v>
      </c>
      <c r="F179" s="39"/>
      <c r="G179" s="400" t="s">
        <v>304</v>
      </c>
      <c r="H179" s="403"/>
    </row>
    <row r="180" spans="2:8" ht="13" thickBot="1" x14ac:dyDescent="0.3">
      <c r="B180" s="38"/>
      <c r="C180" s="33"/>
      <c r="D180" s="33"/>
      <c r="E180" s="565"/>
      <c r="F180" s="39"/>
      <c r="G180" s="401" t="s">
        <v>305</v>
      </c>
      <c r="H180" s="404"/>
    </row>
    <row r="181" spans="2:8" x14ac:dyDescent="0.25">
      <c r="B181" s="38"/>
      <c r="C181" s="33"/>
      <c r="D181" s="33"/>
      <c r="E181" s="565"/>
      <c r="F181" s="39"/>
    </row>
    <row r="182" spans="2:8" x14ac:dyDescent="0.25">
      <c r="B182" s="38"/>
      <c r="C182" s="33"/>
      <c r="D182" s="33"/>
      <c r="E182" s="565"/>
      <c r="F182" s="39"/>
    </row>
    <row r="183" spans="2:8" x14ac:dyDescent="0.25">
      <c r="B183" s="38"/>
      <c r="C183" s="33"/>
      <c r="D183" s="33"/>
      <c r="E183" s="565"/>
      <c r="F183" s="39"/>
    </row>
    <row r="184" spans="2:8" x14ac:dyDescent="0.25">
      <c r="B184" s="38"/>
      <c r="C184" s="33"/>
      <c r="D184" s="33"/>
      <c r="E184" s="565"/>
      <c r="F184" s="39"/>
    </row>
    <row r="185" spans="2:8" x14ac:dyDescent="0.25">
      <c r="F185" s="39"/>
    </row>
    <row r="186" spans="2:8" ht="13" x14ac:dyDescent="0.3">
      <c r="B186" s="700" t="s">
        <v>405</v>
      </c>
      <c r="C186" s="701"/>
      <c r="D186" s="701"/>
      <c r="E186" s="701"/>
      <c r="F186" s="39"/>
    </row>
    <row r="187" spans="2:8" x14ac:dyDescent="0.25">
      <c r="B187" s="671" t="s">
        <v>406</v>
      </c>
      <c r="C187" s="671"/>
      <c r="D187" s="671"/>
      <c r="E187" s="671"/>
      <c r="F187" s="34"/>
    </row>
    <row r="188" spans="2:8" ht="36.75" customHeight="1" x14ac:dyDescent="0.4">
      <c r="B188" s="136" t="s">
        <v>308</v>
      </c>
      <c r="C188" s="136" t="s">
        <v>295</v>
      </c>
      <c r="D188" s="136" t="s">
        <v>309</v>
      </c>
      <c r="E188" s="136" t="s">
        <v>310</v>
      </c>
      <c r="F188" s="60"/>
    </row>
    <row r="189" spans="2:8" x14ac:dyDescent="0.25">
      <c r="B189" s="38"/>
      <c r="C189" s="33"/>
      <c r="D189" s="33"/>
      <c r="E189" s="397">
        <f>IF(ISBLANK(C189), 0, VLOOKUP(C189, 'XIV. References'!$B$191:$D$197, 2, FALSE))</f>
        <v>0</v>
      </c>
      <c r="F189" s="39"/>
    </row>
    <row r="190" spans="2:8" x14ac:dyDescent="0.25">
      <c r="B190" s="38"/>
      <c r="C190" s="33"/>
      <c r="D190" s="33"/>
      <c r="E190" s="397">
        <f>IF(ISBLANK(C190), 0, VLOOKUP(C190, 'XIV. References'!$B$191:$D$197, 2, FALSE))</f>
        <v>0</v>
      </c>
      <c r="F190" s="39"/>
    </row>
    <row r="191" spans="2:8" x14ac:dyDescent="0.25">
      <c r="B191" s="38"/>
      <c r="C191" s="33"/>
      <c r="D191" s="33"/>
      <c r="E191" s="397">
        <f>IF(ISBLANK(C191), 0, VLOOKUP(C191, 'XIV. References'!$B$191:$D$197, 2, FALSE))</f>
        <v>0</v>
      </c>
      <c r="F191" s="39"/>
    </row>
    <row r="192" spans="2:8" x14ac:dyDescent="0.25">
      <c r="B192" s="38"/>
      <c r="C192" s="33"/>
      <c r="D192" s="33"/>
      <c r="E192" s="397">
        <f>IF(ISBLANK(C192), 0, VLOOKUP(C192, 'XIV. References'!$B$191:$D$197, 2, FALSE))</f>
        <v>0</v>
      </c>
      <c r="F192" s="39"/>
    </row>
    <row r="193" spans="1:41" ht="15" x14ac:dyDescent="0.4">
      <c r="B193" s="136" t="s">
        <v>308</v>
      </c>
      <c r="C193" s="136" t="s">
        <v>303</v>
      </c>
      <c r="D193" s="136" t="s">
        <v>309</v>
      </c>
      <c r="E193" s="136" t="s">
        <v>310</v>
      </c>
      <c r="F193" s="39"/>
    </row>
    <row r="194" spans="1:41" x14ac:dyDescent="0.25">
      <c r="B194" s="38"/>
      <c r="C194" s="33"/>
      <c r="D194" s="33"/>
      <c r="E194" s="565"/>
      <c r="F194" s="39"/>
    </row>
    <row r="195" spans="1:41" x14ac:dyDescent="0.25">
      <c r="B195" s="38"/>
      <c r="C195" s="33"/>
      <c r="D195" s="33"/>
      <c r="E195" s="565"/>
      <c r="F195" s="39"/>
    </row>
    <row r="196" spans="1:41" x14ac:dyDescent="0.25">
      <c r="B196" s="38"/>
      <c r="C196" s="33"/>
      <c r="D196" s="33"/>
      <c r="E196" s="565"/>
      <c r="F196" s="39"/>
    </row>
    <row r="197" spans="1:41" x14ac:dyDescent="0.25">
      <c r="B197" s="38"/>
      <c r="C197" s="33"/>
      <c r="D197" s="33"/>
      <c r="E197" s="565"/>
      <c r="F197" s="39"/>
    </row>
    <row r="198" spans="1:41" x14ac:dyDescent="0.25">
      <c r="B198" s="38"/>
      <c r="C198" s="33"/>
      <c r="D198" s="33"/>
      <c r="E198" s="565"/>
      <c r="F198" s="39"/>
    </row>
    <row r="199" spans="1:41" ht="13" x14ac:dyDescent="0.3">
      <c r="B199" s="3"/>
      <c r="F199" s="61"/>
    </row>
    <row r="200" spans="1:41" ht="17.25" customHeight="1" thickBot="1" x14ac:dyDescent="0.35">
      <c r="B200" s="702" t="s">
        <v>407</v>
      </c>
      <c r="C200" s="702"/>
      <c r="D200" s="702"/>
      <c r="E200" s="702"/>
      <c r="F200" s="61"/>
    </row>
    <row r="201" spans="1:41" ht="13.5" thickBot="1" x14ac:dyDescent="0.35">
      <c r="B201" s="671" t="s">
        <v>408</v>
      </c>
      <c r="C201" s="671"/>
      <c r="D201" s="671"/>
      <c r="E201" s="671"/>
      <c r="F201" s="62"/>
      <c r="G201" s="112" t="s">
        <v>314</v>
      </c>
      <c r="H201" s="49"/>
      <c r="I201" s="49"/>
      <c r="J201" s="49"/>
      <c r="K201" s="49"/>
      <c r="L201" s="49"/>
      <c r="M201" s="49"/>
    </row>
    <row r="202" spans="1:41" ht="15" x14ac:dyDescent="0.4">
      <c r="B202" s="136" t="s">
        <v>315</v>
      </c>
      <c r="C202" s="136" t="s">
        <v>316</v>
      </c>
      <c r="D202" s="136" t="s">
        <v>317</v>
      </c>
      <c r="E202" s="136" t="s">
        <v>409</v>
      </c>
      <c r="F202" s="39"/>
      <c r="G202" s="431" t="s">
        <v>319</v>
      </c>
      <c r="H202" s="49"/>
      <c r="I202" s="49"/>
      <c r="J202" s="49"/>
      <c r="K202" s="49"/>
      <c r="L202" s="49"/>
      <c r="M202" s="49"/>
    </row>
    <row r="203" spans="1:41" s="64" customFormat="1" ht="13" x14ac:dyDescent="0.3">
      <c r="A203" s="11"/>
      <c r="B203" s="456"/>
      <c r="C203" s="430">
        <v>2007</v>
      </c>
      <c r="D203" s="137"/>
      <c r="E203" s="434">
        <f>IF(B203="", 0, VLOOKUP(B203, 'XIV. References'!C201:D227, 2, FALSE))</f>
        <v>0</v>
      </c>
      <c r="F203" s="39"/>
      <c r="G203" s="432" t="s">
        <v>321</v>
      </c>
      <c r="H203" s="49"/>
      <c r="I203" s="49"/>
      <c r="J203" s="49"/>
      <c r="K203" s="49"/>
      <c r="L203" s="49"/>
      <c r="M203" s="49"/>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row>
    <row r="204" spans="1:41" s="64" customFormat="1" x14ac:dyDescent="0.25">
      <c r="A204" s="11"/>
      <c r="B204" s="11" t="s">
        <v>410</v>
      </c>
      <c r="C204" s="11"/>
      <c r="D204" s="11"/>
      <c r="E204" s="11"/>
      <c r="F204" s="39"/>
      <c r="G204" s="433" t="s">
        <v>322</v>
      </c>
      <c r="H204" s="49"/>
      <c r="I204" s="49"/>
      <c r="J204" s="49"/>
      <c r="K204" s="49"/>
      <c r="L204" s="49"/>
      <c r="M204" s="49"/>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row>
    <row r="205" spans="1:41" x14ac:dyDescent="0.25">
      <c r="B205" s="11" t="s">
        <v>411</v>
      </c>
      <c r="F205" s="39"/>
      <c r="G205" s="390" t="s">
        <v>323</v>
      </c>
    </row>
    <row r="206" spans="1:41" x14ac:dyDescent="0.25">
      <c r="G206" s="390" t="s">
        <v>324</v>
      </c>
    </row>
    <row r="207" spans="1:41" ht="13" x14ac:dyDescent="0.3">
      <c r="B207" s="3" t="s">
        <v>412</v>
      </c>
      <c r="G207" s="390" t="s">
        <v>325</v>
      </c>
    </row>
    <row r="208" spans="1:41" ht="62.25" customHeight="1" x14ac:dyDescent="0.25">
      <c r="B208" s="671" t="s">
        <v>413</v>
      </c>
      <c r="C208" s="671"/>
      <c r="D208" s="671"/>
      <c r="E208" s="671"/>
      <c r="G208" s="390" t="s">
        <v>326</v>
      </c>
    </row>
    <row r="209" spans="2:7" ht="13" x14ac:dyDescent="0.3">
      <c r="B209" s="546" t="s">
        <v>414</v>
      </c>
      <c r="C209" s="136" t="s">
        <v>415</v>
      </c>
      <c r="G209" s="390" t="s">
        <v>327</v>
      </c>
    </row>
    <row r="210" spans="2:7" x14ac:dyDescent="0.25">
      <c r="B210" s="38"/>
      <c r="C210" s="33"/>
      <c r="G210" s="390" t="s">
        <v>328</v>
      </c>
    </row>
    <row r="211" spans="2:7" x14ac:dyDescent="0.25">
      <c r="B211" s="38"/>
      <c r="C211" s="33"/>
      <c r="G211" s="390" t="s">
        <v>329</v>
      </c>
    </row>
    <row r="212" spans="2:7" x14ac:dyDescent="0.25">
      <c r="B212" s="38"/>
      <c r="C212" s="33"/>
      <c r="G212" s="390" t="s">
        <v>330</v>
      </c>
    </row>
    <row r="213" spans="2:7" x14ac:dyDescent="0.25">
      <c r="B213" s="38"/>
      <c r="C213" s="33"/>
      <c r="G213" s="390" t="s">
        <v>331</v>
      </c>
    </row>
    <row r="214" spans="2:7" ht="25" x14ac:dyDescent="0.25">
      <c r="B214" s="38"/>
      <c r="C214" s="33"/>
      <c r="G214" s="390" t="s">
        <v>332</v>
      </c>
    </row>
    <row r="215" spans="2:7" ht="13" x14ac:dyDescent="0.3">
      <c r="B215" s="566" t="s">
        <v>416</v>
      </c>
      <c r="C215" s="567">
        <f>SUM(C210:C214)</f>
        <v>0</v>
      </c>
      <c r="G215" s="390" t="s">
        <v>333</v>
      </c>
    </row>
    <row r="216" spans="2:7" x14ac:dyDescent="0.25">
      <c r="G216" s="390" t="s">
        <v>334</v>
      </c>
    </row>
    <row r="217" spans="2:7" x14ac:dyDescent="0.25">
      <c r="B217" s="673" t="s">
        <v>241</v>
      </c>
      <c r="C217" s="673"/>
      <c r="D217" s="673"/>
      <c r="E217" s="673"/>
      <c r="G217" s="390" t="s">
        <v>335</v>
      </c>
    </row>
    <row r="218" spans="2:7" x14ac:dyDescent="0.25">
      <c r="B218" s="673"/>
      <c r="C218" s="673"/>
      <c r="D218" s="673"/>
      <c r="E218" s="673"/>
      <c r="G218" s="390" t="s">
        <v>336</v>
      </c>
    </row>
    <row r="219" spans="2:7" x14ac:dyDescent="0.25">
      <c r="B219" s="673"/>
      <c r="C219" s="673"/>
      <c r="D219" s="673"/>
      <c r="E219" s="673"/>
      <c r="G219" s="390" t="s">
        <v>337</v>
      </c>
    </row>
    <row r="220" spans="2:7" x14ac:dyDescent="0.25">
      <c r="B220" s="673"/>
      <c r="C220" s="673"/>
      <c r="D220" s="673"/>
      <c r="E220" s="673"/>
      <c r="G220" s="390" t="s">
        <v>338</v>
      </c>
    </row>
    <row r="221" spans="2:7" x14ac:dyDescent="0.25">
      <c r="B221" s="673"/>
      <c r="C221" s="673"/>
      <c r="D221" s="673"/>
      <c r="E221" s="673"/>
      <c r="G221" s="390" t="s">
        <v>339</v>
      </c>
    </row>
    <row r="222" spans="2:7" x14ac:dyDescent="0.25">
      <c r="B222" s="673"/>
      <c r="C222" s="673"/>
      <c r="D222" s="673"/>
      <c r="E222" s="673"/>
      <c r="G222" s="390" t="s">
        <v>340</v>
      </c>
    </row>
    <row r="223" spans="2:7" ht="25" x14ac:dyDescent="0.25">
      <c r="B223" s="673"/>
      <c r="C223" s="673"/>
      <c r="D223" s="673"/>
      <c r="E223" s="673"/>
      <c r="G223" s="390" t="s">
        <v>341</v>
      </c>
    </row>
    <row r="224" spans="2:7" x14ac:dyDescent="0.25">
      <c r="B224" s="673"/>
      <c r="C224" s="673"/>
      <c r="D224" s="673"/>
      <c r="E224" s="673"/>
      <c r="G224" s="390" t="s">
        <v>342</v>
      </c>
    </row>
    <row r="225" spans="2:7" x14ac:dyDescent="0.25">
      <c r="B225" s="673"/>
      <c r="C225" s="673"/>
      <c r="D225" s="673"/>
      <c r="E225" s="673"/>
      <c r="G225" s="390" t="s">
        <v>343</v>
      </c>
    </row>
    <row r="226" spans="2:7" ht="25" x14ac:dyDescent="0.25">
      <c r="B226" s="673"/>
      <c r="C226" s="673"/>
      <c r="D226" s="673"/>
      <c r="E226" s="673"/>
      <c r="G226" s="390" t="s">
        <v>344</v>
      </c>
    </row>
    <row r="227" spans="2:7" ht="25.5" thickBot="1" x14ac:dyDescent="0.3">
      <c r="B227" s="673"/>
      <c r="C227" s="673"/>
      <c r="D227" s="673"/>
      <c r="E227" s="673"/>
      <c r="G227" s="391" t="s">
        <v>345</v>
      </c>
    </row>
    <row r="228" spans="2:7" x14ac:dyDescent="0.25">
      <c r="B228" s="673"/>
      <c r="C228" s="673"/>
      <c r="D228" s="673"/>
      <c r="E228" s="673"/>
    </row>
    <row r="229" spans="2:7" x14ac:dyDescent="0.25">
      <c r="B229" s="673"/>
      <c r="C229" s="673"/>
      <c r="D229" s="673"/>
      <c r="E229" s="673"/>
    </row>
    <row r="230" spans="2:7" x14ac:dyDescent="0.25">
      <c r="B230" s="673"/>
      <c r="C230" s="673"/>
      <c r="D230" s="673"/>
      <c r="E230" s="673"/>
    </row>
    <row r="231" spans="2:7" x14ac:dyDescent="0.25">
      <c r="B231" s="673"/>
      <c r="C231" s="673"/>
      <c r="D231" s="673"/>
      <c r="E231" s="673"/>
    </row>
    <row r="232" spans="2:7" x14ac:dyDescent="0.25">
      <c r="B232" s="673"/>
      <c r="C232" s="673"/>
      <c r="D232" s="673"/>
      <c r="E232" s="673"/>
    </row>
    <row r="233" spans="2:7" x14ac:dyDescent="0.25">
      <c r="B233" s="673"/>
      <c r="C233" s="673"/>
      <c r="D233" s="673"/>
      <c r="E233" s="673"/>
    </row>
    <row r="234" spans="2:7" x14ac:dyDescent="0.25">
      <c r="B234" s="673"/>
      <c r="C234" s="673"/>
      <c r="D234" s="673"/>
      <c r="E234" s="673"/>
    </row>
    <row r="235" spans="2:7" x14ac:dyDescent="0.25">
      <c r="B235" s="673"/>
      <c r="C235" s="673"/>
      <c r="D235" s="673"/>
      <c r="E235" s="673"/>
    </row>
    <row r="236" spans="2:7" x14ac:dyDescent="0.25">
      <c r="B236" s="673"/>
      <c r="C236" s="673"/>
      <c r="D236" s="673"/>
      <c r="E236" s="673"/>
    </row>
    <row r="241" s="11" customFormat="1" x14ac:dyDescent="0.25"/>
    <row r="242" s="11" customFormat="1" x14ac:dyDescent="0.25"/>
    <row r="243" s="11" customFormat="1" x14ac:dyDescent="0.25"/>
    <row r="244" s="11" customFormat="1" x14ac:dyDescent="0.25"/>
    <row r="245" s="11" customFormat="1" x14ac:dyDescent="0.25"/>
    <row r="246" s="11" customFormat="1" x14ac:dyDescent="0.25"/>
    <row r="247" s="11" customFormat="1" x14ac:dyDescent="0.25"/>
    <row r="248" s="11" customFormat="1" x14ac:dyDescent="0.25"/>
    <row r="249" s="11" customFormat="1" x14ac:dyDescent="0.25"/>
    <row r="250" s="11" customFormat="1" x14ac:dyDescent="0.25"/>
    <row r="251" s="11" customFormat="1" x14ac:dyDescent="0.25"/>
    <row r="252" s="11" customFormat="1" x14ac:dyDescent="0.25"/>
    <row r="253" s="11" customFormat="1" x14ac:dyDescent="0.25"/>
    <row r="254" s="11" customFormat="1" x14ac:dyDescent="0.25"/>
    <row r="255" s="11" customFormat="1" x14ac:dyDescent="0.25"/>
    <row r="256" s="11" customFormat="1" x14ac:dyDescent="0.25"/>
    <row r="257" s="11" customFormat="1" x14ac:dyDescent="0.25"/>
    <row r="258" s="11" customFormat="1" x14ac:dyDescent="0.25"/>
    <row r="259" s="11" customFormat="1" x14ac:dyDescent="0.25"/>
    <row r="260" s="11" customFormat="1" x14ac:dyDescent="0.25"/>
    <row r="261" s="11" customFormat="1" x14ac:dyDescent="0.25"/>
    <row r="262" s="11" customFormat="1" x14ac:dyDescent="0.25"/>
    <row r="263" s="11" customFormat="1" x14ac:dyDescent="0.25"/>
    <row r="264" s="11" customFormat="1" x14ac:dyDescent="0.25"/>
    <row r="265" s="11" customFormat="1" x14ac:dyDescent="0.25"/>
    <row r="266" s="11" customFormat="1" x14ac:dyDescent="0.25"/>
    <row r="267" s="11" customFormat="1" x14ac:dyDescent="0.25"/>
    <row r="268" s="11" customFormat="1" x14ac:dyDescent="0.25"/>
    <row r="269" s="11" customFormat="1" x14ac:dyDescent="0.25"/>
    <row r="270" s="11" customFormat="1" x14ac:dyDescent="0.25"/>
    <row r="271" s="11" customFormat="1" x14ac:dyDescent="0.25"/>
    <row r="272" s="11" customFormat="1" x14ac:dyDescent="0.25"/>
    <row r="273" s="11" customFormat="1" x14ac:dyDescent="0.25"/>
    <row r="274" s="11" customFormat="1" x14ac:dyDescent="0.25"/>
    <row r="275" s="11" customFormat="1" x14ac:dyDescent="0.25"/>
    <row r="276" s="11" customFormat="1" x14ac:dyDescent="0.25"/>
    <row r="277" s="11" customFormat="1" x14ac:dyDescent="0.25"/>
    <row r="278" s="11" customFormat="1" x14ac:dyDescent="0.25"/>
    <row r="279" s="11" customFormat="1" x14ac:dyDescent="0.25"/>
    <row r="280" s="11" customFormat="1" x14ac:dyDescent="0.25"/>
    <row r="281" s="11" customFormat="1" x14ac:dyDescent="0.25"/>
    <row r="282" s="11" customFormat="1" x14ac:dyDescent="0.25"/>
    <row r="283" s="11" customFormat="1" x14ac:dyDescent="0.25"/>
    <row r="284" s="11" customFormat="1" x14ac:dyDescent="0.25"/>
    <row r="285" s="11" customFormat="1" x14ac:dyDescent="0.25"/>
    <row r="286" s="11" customFormat="1" x14ac:dyDescent="0.25"/>
    <row r="287" s="11" customFormat="1" x14ac:dyDescent="0.25"/>
    <row r="288" s="11" customFormat="1" x14ac:dyDescent="0.25"/>
    <row r="289" s="11" customFormat="1" x14ac:dyDescent="0.25"/>
    <row r="290" s="11" customFormat="1" x14ac:dyDescent="0.25"/>
    <row r="291" s="11" customFormat="1" x14ac:dyDescent="0.25"/>
    <row r="292" s="11" customFormat="1" x14ac:dyDescent="0.25"/>
    <row r="293" s="11" customFormat="1" x14ac:dyDescent="0.25"/>
    <row r="294" s="11" customFormat="1" x14ac:dyDescent="0.25"/>
    <row r="295" s="11" customFormat="1" x14ac:dyDescent="0.25"/>
    <row r="296" s="11" customFormat="1" x14ac:dyDescent="0.25"/>
    <row r="297" s="11" customFormat="1" x14ac:dyDescent="0.25"/>
    <row r="298" s="11" customFormat="1" x14ac:dyDescent="0.25"/>
    <row r="299" s="11" customFormat="1" x14ac:dyDescent="0.25"/>
    <row r="300" s="11" customFormat="1" x14ac:dyDescent="0.25"/>
    <row r="301" s="11" customFormat="1" x14ac:dyDescent="0.25"/>
    <row r="302" s="11" customFormat="1" x14ac:dyDescent="0.25"/>
    <row r="303" s="11" customFormat="1" x14ac:dyDescent="0.25"/>
    <row r="304" s="11" customFormat="1" x14ac:dyDescent="0.25"/>
    <row r="305" s="11" customFormat="1" x14ac:dyDescent="0.25"/>
    <row r="306" s="11" customFormat="1" x14ac:dyDescent="0.25"/>
    <row r="307" s="11" customFormat="1" x14ac:dyDescent="0.25"/>
    <row r="308" s="11" customFormat="1" x14ac:dyDescent="0.25"/>
    <row r="309" s="11" customFormat="1" x14ac:dyDescent="0.25"/>
    <row r="310" s="11" customFormat="1" x14ac:dyDescent="0.25"/>
    <row r="311" s="11" customFormat="1" x14ac:dyDescent="0.25"/>
    <row r="312" s="11" customFormat="1" x14ac:dyDescent="0.25"/>
    <row r="313" s="11" customFormat="1" x14ac:dyDescent="0.25"/>
    <row r="314" s="11" customFormat="1" x14ac:dyDescent="0.25"/>
    <row r="315" s="11" customFormat="1" x14ac:dyDescent="0.25"/>
    <row r="316" s="11" customFormat="1" x14ac:dyDescent="0.25"/>
    <row r="317" s="11" customFormat="1" x14ac:dyDescent="0.25"/>
    <row r="318" s="11" customFormat="1" x14ac:dyDescent="0.25"/>
    <row r="319" s="11" customFormat="1" x14ac:dyDescent="0.25"/>
    <row r="320" s="11" customFormat="1" x14ac:dyDescent="0.25"/>
    <row r="321" s="11" customFormat="1" x14ac:dyDescent="0.25"/>
    <row r="322" s="11" customFormat="1" x14ac:dyDescent="0.25"/>
    <row r="323" s="11" customFormat="1" x14ac:dyDescent="0.25"/>
    <row r="324" s="11" customFormat="1" x14ac:dyDescent="0.25"/>
    <row r="325" s="11" customFormat="1" x14ac:dyDescent="0.25"/>
    <row r="326" s="11" customFormat="1" x14ac:dyDescent="0.25"/>
    <row r="327" s="11" customFormat="1" x14ac:dyDescent="0.25"/>
    <row r="328" s="11" customFormat="1" x14ac:dyDescent="0.25"/>
    <row r="329" s="11" customFormat="1" x14ac:dyDescent="0.25"/>
    <row r="330" s="11" customFormat="1" x14ac:dyDescent="0.25"/>
    <row r="331" s="11" customFormat="1" x14ac:dyDescent="0.25"/>
    <row r="332" s="11" customFormat="1" x14ac:dyDescent="0.25"/>
    <row r="333" s="11" customFormat="1" x14ac:dyDescent="0.25"/>
    <row r="334" s="11" customFormat="1" x14ac:dyDescent="0.25"/>
    <row r="335" s="11" customFormat="1" x14ac:dyDescent="0.25"/>
    <row r="336" s="11" customFormat="1" x14ac:dyDescent="0.25"/>
    <row r="337" s="11" customFormat="1" x14ac:dyDescent="0.25"/>
    <row r="338" s="11" customFormat="1" x14ac:dyDescent="0.25"/>
    <row r="339" s="11" customFormat="1" x14ac:dyDescent="0.25"/>
    <row r="340" s="11" customFormat="1" x14ac:dyDescent="0.25"/>
    <row r="341" s="11" customFormat="1" x14ac:dyDescent="0.25"/>
    <row r="342" s="11" customFormat="1" x14ac:dyDescent="0.25"/>
    <row r="343" s="11" customFormat="1" x14ac:dyDescent="0.25"/>
    <row r="344" s="11" customFormat="1" x14ac:dyDescent="0.25"/>
    <row r="345" s="11" customFormat="1" x14ac:dyDescent="0.25"/>
    <row r="346" s="11" customFormat="1" x14ac:dyDescent="0.25"/>
    <row r="347" s="11" customFormat="1" x14ac:dyDescent="0.25"/>
    <row r="348" s="11" customFormat="1" x14ac:dyDescent="0.25"/>
    <row r="349" s="11" customFormat="1" x14ac:dyDescent="0.25"/>
    <row r="350" s="11" customFormat="1" x14ac:dyDescent="0.25"/>
    <row r="351" s="11" customFormat="1" x14ac:dyDescent="0.25"/>
    <row r="352" s="11" customFormat="1" x14ac:dyDescent="0.25"/>
    <row r="353" s="11" customFormat="1" x14ac:dyDescent="0.25"/>
    <row r="354" s="11" customFormat="1" x14ac:dyDescent="0.25"/>
    <row r="355" s="11" customFormat="1" x14ac:dyDescent="0.25"/>
    <row r="356" s="11" customFormat="1" x14ac:dyDescent="0.25"/>
    <row r="357" s="11" customFormat="1" x14ac:dyDescent="0.25"/>
    <row r="358" s="11" customFormat="1" x14ac:dyDescent="0.25"/>
    <row r="359" s="11" customFormat="1" x14ac:dyDescent="0.25"/>
    <row r="360" s="11" customFormat="1" x14ac:dyDescent="0.25"/>
    <row r="361" s="11" customFormat="1" x14ac:dyDescent="0.25"/>
    <row r="362" s="11" customFormat="1" x14ac:dyDescent="0.25"/>
    <row r="363" s="11" customFormat="1" x14ac:dyDescent="0.25"/>
    <row r="364" s="11" customFormat="1" x14ac:dyDescent="0.25"/>
    <row r="365" s="11" customFormat="1" x14ac:dyDescent="0.25"/>
    <row r="366" s="11" customFormat="1" x14ac:dyDescent="0.25"/>
    <row r="367" s="11" customFormat="1" x14ac:dyDescent="0.25"/>
    <row r="368" s="11" customFormat="1" x14ac:dyDescent="0.25"/>
    <row r="369" s="11" customFormat="1" x14ac:dyDescent="0.25"/>
    <row r="370" s="11" customFormat="1" x14ac:dyDescent="0.25"/>
    <row r="371" s="11" customFormat="1" x14ac:dyDescent="0.25"/>
    <row r="372" s="11" customFormat="1" x14ac:dyDescent="0.25"/>
    <row r="373" s="11" customFormat="1" x14ac:dyDescent="0.25"/>
    <row r="374" s="11" customFormat="1" x14ac:dyDescent="0.25"/>
    <row r="375" s="11" customFormat="1" x14ac:dyDescent="0.25"/>
    <row r="376" s="11" customFormat="1" x14ac:dyDescent="0.25"/>
    <row r="377" s="11" customFormat="1" x14ac:dyDescent="0.25"/>
    <row r="378" s="11" customFormat="1" x14ac:dyDescent="0.25"/>
    <row r="379" s="11" customFormat="1" x14ac:dyDescent="0.25"/>
    <row r="380" s="11" customFormat="1" x14ac:dyDescent="0.25"/>
    <row r="381" s="11" customFormat="1" x14ac:dyDescent="0.25"/>
    <row r="382" s="11" customFormat="1" x14ac:dyDescent="0.25"/>
    <row r="383" s="11" customFormat="1" x14ac:dyDescent="0.25"/>
    <row r="384" s="11" customFormat="1" x14ac:dyDescent="0.25"/>
    <row r="385" s="11" customFormat="1" x14ac:dyDescent="0.25"/>
    <row r="386" s="11" customFormat="1" x14ac:dyDescent="0.25"/>
    <row r="387" s="11" customFormat="1" x14ac:dyDescent="0.25"/>
    <row r="388" s="11" customFormat="1" x14ac:dyDescent="0.25"/>
    <row r="389" s="11" customFormat="1" x14ac:dyDescent="0.25"/>
    <row r="390" s="11" customFormat="1" x14ac:dyDescent="0.25"/>
    <row r="391" s="11" customFormat="1" x14ac:dyDescent="0.25"/>
    <row r="392" s="11" customFormat="1" x14ac:dyDescent="0.25"/>
    <row r="393" s="11" customFormat="1" x14ac:dyDescent="0.25"/>
    <row r="394" s="11" customFormat="1" x14ac:dyDescent="0.25"/>
    <row r="395" s="11" customFormat="1" x14ac:dyDescent="0.25"/>
    <row r="396" s="11" customFormat="1" x14ac:dyDescent="0.25"/>
    <row r="397" s="11" customFormat="1" x14ac:dyDescent="0.25"/>
    <row r="398" s="11" customFormat="1" x14ac:dyDescent="0.25"/>
    <row r="399" s="11" customFormat="1" x14ac:dyDescent="0.25"/>
    <row r="400" s="11" customFormat="1" x14ac:dyDescent="0.25"/>
    <row r="401" s="11" customFormat="1" x14ac:dyDescent="0.25"/>
    <row r="402" s="11" customFormat="1" x14ac:dyDescent="0.25"/>
    <row r="403" s="11" customFormat="1" x14ac:dyDescent="0.25"/>
    <row r="404" s="11" customFormat="1" x14ac:dyDescent="0.25"/>
    <row r="405" s="11" customFormat="1" x14ac:dyDescent="0.25"/>
    <row r="406" s="11" customFormat="1" x14ac:dyDescent="0.25"/>
    <row r="407" s="11" customFormat="1" x14ac:dyDescent="0.25"/>
    <row r="408" s="11" customFormat="1" x14ac:dyDescent="0.25"/>
    <row r="409" s="11" customFormat="1" x14ac:dyDescent="0.25"/>
    <row r="410" s="11" customFormat="1" x14ac:dyDescent="0.25"/>
    <row r="411" s="11" customFormat="1" x14ac:dyDescent="0.25"/>
    <row r="412" s="11" customFormat="1" x14ac:dyDescent="0.25"/>
    <row r="413" s="11" customFormat="1" x14ac:dyDescent="0.25"/>
    <row r="414" s="11" customFormat="1" x14ac:dyDescent="0.25"/>
    <row r="415" s="11" customFormat="1" x14ac:dyDescent="0.25"/>
    <row r="416" s="11" customFormat="1" x14ac:dyDescent="0.25"/>
    <row r="417" s="11" customFormat="1" x14ac:dyDescent="0.25"/>
    <row r="418" s="11" customFormat="1" x14ac:dyDescent="0.25"/>
    <row r="419" s="11" customFormat="1" x14ac:dyDescent="0.25"/>
    <row r="420" s="11" customFormat="1" x14ac:dyDescent="0.25"/>
    <row r="421" s="11" customFormat="1" x14ac:dyDescent="0.25"/>
    <row r="422" s="11" customFormat="1" x14ac:dyDescent="0.25"/>
    <row r="423" s="11" customFormat="1" x14ac:dyDescent="0.25"/>
    <row r="424" s="11" customFormat="1" x14ac:dyDescent="0.25"/>
    <row r="425" s="11" customFormat="1" x14ac:dyDescent="0.25"/>
    <row r="426" s="11" customFormat="1" x14ac:dyDescent="0.25"/>
    <row r="427" s="11" customFormat="1" x14ac:dyDescent="0.25"/>
    <row r="428" s="11" customFormat="1" x14ac:dyDescent="0.25"/>
    <row r="429" s="11" customFormat="1" x14ac:dyDescent="0.25"/>
    <row r="430" s="11" customFormat="1" x14ac:dyDescent="0.25"/>
    <row r="431" s="11" customFormat="1" x14ac:dyDescent="0.25"/>
    <row r="432" s="11" customFormat="1" x14ac:dyDescent="0.25"/>
    <row r="433" s="11" customFormat="1" x14ac:dyDescent="0.25"/>
    <row r="434" s="11" customFormat="1" x14ac:dyDescent="0.25"/>
    <row r="435" s="11" customFormat="1" x14ac:dyDescent="0.25"/>
    <row r="436" s="11" customFormat="1" x14ac:dyDescent="0.25"/>
    <row r="437" s="11" customFormat="1" x14ac:dyDescent="0.25"/>
    <row r="438" s="11" customFormat="1" x14ac:dyDescent="0.25"/>
    <row r="439" s="11" customFormat="1" x14ac:dyDescent="0.25"/>
    <row r="440" s="11" customFormat="1" x14ac:dyDescent="0.25"/>
    <row r="441" s="11" customFormat="1" x14ac:dyDescent="0.25"/>
    <row r="442" s="11" customFormat="1" x14ac:dyDescent="0.25"/>
    <row r="443" s="11" customFormat="1" x14ac:dyDescent="0.25"/>
    <row r="444" s="11" customFormat="1" x14ac:dyDescent="0.25"/>
    <row r="445" s="11" customFormat="1" x14ac:dyDescent="0.25"/>
    <row r="446" s="11" customFormat="1" x14ac:dyDescent="0.25"/>
    <row r="447" s="11" customFormat="1" x14ac:dyDescent="0.25"/>
    <row r="448" s="11" customFormat="1" x14ac:dyDescent="0.25"/>
    <row r="449" s="11" customFormat="1" x14ac:dyDescent="0.25"/>
    <row r="450" s="11" customFormat="1" x14ac:dyDescent="0.25"/>
    <row r="451" s="11" customFormat="1" x14ac:dyDescent="0.25"/>
    <row r="452" s="11" customFormat="1" x14ac:dyDescent="0.25"/>
    <row r="453" s="11" customFormat="1" x14ac:dyDescent="0.25"/>
    <row r="454" s="11" customFormat="1" x14ac:dyDescent="0.25"/>
    <row r="455" s="11" customFormat="1" x14ac:dyDescent="0.25"/>
    <row r="456" s="11" customFormat="1" x14ac:dyDescent="0.25"/>
    <row r="457" s="11" customFormat="1" x14ac:dyDescent="0.25"/>
    <row r="458" s="11" customFormat="1" x14ac:dyDescent="0.25"/>
    <row r="459" s="11" customFormat="1" x14ac:dyDescent="0.25"/>
    <row r="460" s="11" customFormat="1" x14ac:dyDescent="0.25"/>
    <row r="461" s="11" customFormat="1" x14ac:dyDescent="0.25"/>
    <row r="462" s="11" customFormat="1" x14ac:dyDescent="0.25"/>
    <row r="463" s="11" customFormat="1" x14ac:dyDescent="0.25"/>
    <row r="464" s="11" customFormat="1" x14ac:dyDescent="0.25"/>
    <row r="465" s="11" customFormat="1" x14ac:dyDescent="0.25"/>
    <row r="466" s="11" customFormat="1" x14ac:dyDescent="0.25"/>
    <row r="467" s="11" customFormat="1" x14ac:dyDescent="0.25"/>
    <row r="468" s="11" customFormat="1" x14ac:dyDescent="0.25"/>
    <row r="469" s="11" customFormat="1" x14ac:dyDescent="0.25"/>
    <row r="470" s="11" customFormat="1" x14ac:dyDescent="0.25"/>
    <row r="471" s="11" customFormat="1" x14ac:dyDescent="0.25"/>
    <row r="472" s="11" customFormat="1" x14ac:dyDescent="0.25"/>
    <row r="473" s="11" customFormat="1" x14ac:dyDescent="0.25"/>
    <row r="474" s="11" customFormat="1" x14ac:dyDescent="0.25"/>
    <row r="475" s="11" customFormat="1" x14ac:dyDescent="0.25"/>
    <row r="476" s="11" customFormat="1" x14ac:dyDescent="0.25"/>
    <row r="477" s="11" customFormat="1" x14ac:dyDescent="0.25"/>
    <row r="478" s="11" customFormat="1" x14ac:dyDescent="0.25"/>
    <row r="479" s="11" customFormat="1" x14ac:dyDescent="0.25"/>
    <row r="480" s="11" customFormat="1" x14ac:dyDescent="0.25"/>
    <row r="481" s="11" customFormat="1" x14ac:dyDescent="0.25"/>
    <row r="482" s="11" customFormat="1" x14ac:dyDescent="0.25"/>
    <row r="483" s="11" customFormat="1" x14ac:dyDescent="0.25"/>
    <row r="484" s="11" customFormat="1" x14ac:dyDescent="0.25"/>
    <row r="485" s="11" customFormat="1" x14ac:dyDescent="0.25"/>
    <row r="486" s="11" customFormat="1" x14ac:dyDescent="0.25"/>
    <row r="487" s="11" customFormat="1" x14ac:dyDescent="0.25"/>
    <row r="488" s="11" customFormat="1" x14ac:dyDescent="0.25"/>
    <row r="489" s="11" customFormat="1" x14ac:dyDescent="0.25"/>
    <row r="490" s="11" customFormat="1" x14ac:dyDescent="0.25"/>
    <row r="491" s="11" customFormat="1" x14ac:dyDescent="0.25"/>
    <row r="492" s="11" customFormat="1" x14ac:dyDescent="0.25"/>
    <row r="493" s="11" customFormat="1" x14ac:dyDescent="0.25"/>
    <row r="494" s="11" customFormat="1" x14ac:dyDescent="0.25"/>
    <row r="495" s="11" customFormat="1" x14ac:dyDescent="0.25"/>
    <row r="496" s="11" customFormat="1" x14ac:dyDescent="0.25"/>
    <row r="497" s="11" customFormat="1" x14ac:dyDescent="0.25"/>
    <row r="498" s="11" customFormat="1" x14ac:dyDescent="0.25"/>
    <row r="499" s="11" customFormat="1" x14ac:dyDescent="0.25"/>
    <row r="500" s="11" customFormat="1" x14ac:dyDescent="0.25"/>
    <row r="501" s="11" customFormat="1" x14ac:dyDescent="0.25"/>
    <row r="502" s="11" customFormat="1" x14ac:dyDescent="0.25"/>
    <row r="503" s="11" customFormat="1" x14ac:dyDescent="0.25"/>
    <row r="504" s="11" customFormat="1" x14ac:dyDescent="0.25"/>
    <row r="505" s="11" customFormat="1" x14ac:dyDescent="0.25"/>
    <row r="506" s="11" customFormat="1" x14ac:dyDescent="0.25"/>
    <row r="507" s="11" customFormat="1" x14ac:dyDescent="0.25"/>
    <row r="508" s="11" customFormat="1" x14ac:dyDescent="0.25"/>
    <row r="509" s="11" customFormat="1" x14ac:dyDescent="0.25"/>
    <row r="510" s="11" customFormat="1" x14ac:dyDescent="0.25"/>
    <row r="511" s="11" customFormat="1" x14ac:dyDescent="0.25"/>
    <row r="512" s="11" customFormat="1" x14ac:dyDescent="0.25"/>
  </sheetData>
  <sheetProtection algorithmName="SHA-512" hashValue="oS9X6EJZq2FJDxYtXNHemkO30zwj71+fPJjupolsploYkOTyg8duSrCgAMveO0mHueKo70sgmUSOVQBi9HOz9A==" saltValue="JlgKQ+yhloxm0oBgA+sz8Q==" spinCount="100000" sheet="1" objects="1" scenarios="1"/>
  <customSheetViews>
    <customSheetView guid="{A6F5A5FB-2E6E-47D3-842C-0D3D06DB341A}" scale="70">
      <selection activeCell="B14" sqref="B14:D14"/>
      <pageMargins left="0" right="0" top="0" bottom="0" header="0" footer="0"/>
      <pageSetup orientation="portrait" r:id="rId1"/>
      <headerFooter alignWithMargins="0"/>
    </customSheetView>
  </customSheetViews>
  <mergeCells count="36">
    <mergeCell ref="B138:L138"/>
    <mergeCell ref="B159:E168"/>
    <mergeCell ref="B173:E173"/>
    <mergeCell ref="B34:D34"/>
    <mergeCell ref="B64:D64"/>
    <mergeCell ref="B63:D63"/>
    <mergeCell ref="B120:F120"/>
    <mergeCell ref="E122:F122"/>
    <mergeCell ref="D112:E112"/>
    <mergeCell ref="H120:L135"/>
    <mergeCell ref="F114:G114"/>
    <mergeCell ref="H84:L92"/>
    <mergeCell ref="H46:K59"/>
    <mergeCell ref="I99:M114"/>
    <mergeCell ref="E65:F78"/>
    <mergeCell ref="B217:E236"/>
    <mergeCell ref="B172:E172"/>
    <mergeCell ref="B186:E186"/>
    <mergeCell ref="B201:E201"/>
    <mergeCell ref="B187:E187"/>
    <mergeCell ref="B208:E208"/>
    <mergeCell ref="B200:E200"/>
    <mergeCell ref="B13:I13"/>
    <mergeCell ref="B116:G116"/>
    <mergeCell ref="B98:F98"/>
    <mergeCell ref="F16:J28"/>
    <mergeCell ref="B41:D41"/>
    <mergeCell ref="B33:D33"/>
    <mergeCell ref="B36:C36"/>
    <mergeCell ref="B15:D15"/>
    <mergeCell ref="F33:I38"/>
    <mergeCell ref="B37:D38"/>
    <mergeCell ref="B81:E81"/>
    <mergeCell ref="B44:D44"/>
    <mergeCell ref="B43:C43"/>
    <mergeCell ref="B31:J31"/>
  </mergeCells>
  <phoneticPr fontId="2" type="noConversion"/>
  <dataValidations count="16">
    <dataValidation type="decimal" allowBlank="1" showInputMessage="1" showErrorMessage="1" error="Must input percentage as a decimal (0-1)!_x000a_" prompt="Input percentage as a decimal (0-1)" sqref="C144:L154 M154:O154 M144:N153" xr:uid="{00000000-0002-0000-0300-000000000000}">
      <formula1>0</formula1>
      <formula2>1</formula2>
    </dataValidation>
    <dataValidation type="decimal" allowBlank="1" showInputMessage="1" showErrorMessage="1" error="Must input percentage as a decimal (0-1)" prompt="Input percentage as a decimal (0-1)" sqref="C140:N141" xr:uid="{00000000-0002-0000-0300-000001000000}">
      <formula1>0</formula1>
      <formula2>1</formula2>
    </dataValidation>
    <dataValidation type="decimal" allowBlank="1" showInputMessage="1" showErrorMessage="1" error="You must enter the fraction as a decimal_x000a_" prompt="Enter the fraction as a decimal" sqref="F100:F109" xr:uid="{00000000-0002-0000-0300-000002000000}">
      <formula1>0</formula1>
      <formula2>1</formula2>
    </dataValidation>
    <dataValidation type="decimal" allowBlank="1" showInputMessage="1" showErrorMessage="1" error="Must enter fraction as a decimal" prompt="Enter fraction as a decimal" sqref="F47:F59 F83:F95" xr:uid="{00000000-0002-0000-0300-000003000000}">
      <formula1>0</formula1>
      <formula2>1</formula2>
    </dataValidation>
    <dataValidation type="list" allowBlank="1" showErrorMessage="1" error="you must enter a y or n" prompt="enter either a &quot;y&quot; or &quot;n&quot;" sqref="D43" xr:uid="{00000000-0002-0000-0300-000004000000}">
      <formula1>"Yes, No"</formula1>
    </dataValidation>
    <dataValidation type="decimal" allowBlank="1" showInputMessage="1" showErrorMessage="1" error="Must enter % as a decimal from 0-1" prompt="Input as a decimal from 0-1" sqref="D17:D29" xr:uid="{00000000-0002-0000-0300-000005000000}">
      <formula1>0</formula1>
      <formula2>1</formula2>
    </dataValidation>
    <dataValidation type="list" allowBlank="1" showErrorMessage="1" error="You must enter either a &quot;y&quot; or &quot;n&quot;_x000a_" prompt="Selec_x000a_" sqref="D36" xr:uid="{00000000-0002-0000-0300-000006000000}">
      <formula1>"Yes, No"</formula1>
    </dataValidation>
    <dataValidation type="decimal" allowBlank="1" showInputMessage="1" showErrorMessage="1" prompt="Enter number of days of venting for each month, using decimals for partial days." sqref="E83:E95" xr:uid="{00000000-0002-0000-0300-000007000000}">
      <formula1>0</formula1>
      <formula2>31</formula2>
    </dataValidation>
    <dataValidation type="list" allowBlank="1" showInputMessage="1" showErrorMessage="1" sqref="B123:B124" xr:uid="{00000000-0002-0000-0300-000008000000}">
      <formula1>$E$124:$E$126</formula1>
    </dataValidation>
    <dataValidation type="decimal" allowBlank="1" showInputMessage="1" showErrorMessage="1" error="Must enter value as a decimal" prompt="Enter value as a decimal. LEAVE BLANK if using default value." sqref="E114" xr:uid="{00000000-0002-0000-0300-000009000000}">
      <formula1>0</formula1>
      <formula2>1</formula2>
    </dataValidation>
    <dataValidation allowBlank="1" sqref="B114" xr:uid="{00000000-0002-0000-0300-00000A000000}"/>
    <dataValidation type="decimal" allowBlank="1" showInputMessage="1" showErrorMessage="1" prompt="Enter value as a decimal. LEAVE BLANK if using default value." sqref="C114" xr:uid="{00000000-0002-0000-0300-00000B000000}">
      <formula1>0</formula1>
      <formula2>1</formula2>
    </dataValidation>
    <dataValidation allowBlank="1" showErrorMessage="1" sqref="D114" xr:uid="{00000000-0002-0000-0300-00000C000000}"/>
    <dataValidation type="list" allowBlank="1" showInputMessage="1" showErrorMessage="1" sqref="B126:B135" xr:uid="{00000000-0002-0000-0300-00000D000000}">
      <formula1>$F$124:$F$135</formula1>
    </dataValidation>
    <dataValidation type="list" allowBlank="1" showInputMessage="1" showErrorMessage="1" sqref="C175:C178 C189:C192" xr:uid="{00000000-0002-0000-0300-00000E000000}">
      <formula1>$G$175:$G$180</formula1>
    </dataValidation>
    <dataValidation type="list" allowBlank="1" showInputMessage="1" showErrorMessage="1" sqref="B203" xr:uid="{00000000-0002-0000-0300-00000F000000}">
      <formula1>$G$202:$G$227</formula1>
    </dataValidation>
  </dataValidations>
  <pageMargins left="0.75" right="0.75" top="1" bottom="1" header="0.5" footer="0.5"/>
  <pageSetup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P458"/>
  <sheetViews>
    <sheetView showGridLines="0" zoomScale="80" zoomScaleNormal="80" workbookViewId="0">
      <selection activeCell="I77" sqref="I77"/>
    </sheetView>
  </sheetViews>
  <sheetFormatPr defaultColWidth="9.1796875" defaultRowHeight="12.5" x14ac:dyDescent="0.25"/>
  <cols>
    <col min="1" max="1" width="2.1796875" style="11" customWidth="1"/>
    <col min="2" max="2" width="25.81640625" style="11" customWidth="1"/>
    <col min="3" max="3" width="19.453125" style="11" customWidth="1"/>
    <col min="4" max="4" width="7.81640625" style="39" customWidth="1"/>
    <col min="5" max="5" width="19.1796875" style="39" customWidth="1"/>
    <col min="6" max="6" width="17.81640625" style="39" customWidth="1"/>
    <col min="7" max="7" width="32.453125" style="39" customWidth="1"/>
    <col min="8" max="8" width="16.81640625" style="39" customWidth="1"/>
    <col min="9" max="9" width="17.453125" style="39" customWidth="1"/>
    <col min="10" max="10" width="19.453125" style="39" customWidth="1"/>
    <col min="11" max="11" width="4.1796875" style="11" customWidth="1"/>
    <col min="12" max="12" width="4.453125" style="11" customWidth="1"/>
    <col min="13" max="13" width="3" style="11" customWidth="1"/>
    <col min="14" max="14" width="4.1796875" style="11" customWidth="1"/>
    <col min="15" max="15" width="3.1796875" style="11" customWidth="1"/>
    <col min="16" max="17" width="9.1796875" style="11" hidden="1" customWidth="1"/>
    <col min="18" max="19" width="9.1796875" style="11"/>
    <col min="20" max="20" width="5.81640625" style="11" customWidth="1"/>
    <col min="21" max="16384" width="9.1796875" style="11"/>
  </cols>
  <sheetData>
    <row r="1" spans="2:17" ht="13.5" thickBot="1" x14ac:dyDescent="0.35">
      <c r="B1" s="12" t="str">
        <f>version</f>
        <v>COPtool Beta Version 2014k - September 2018</v>
      </c>
    </row>
    <row r="2" spans="2:17" ht="13" x14ac:dyDescent="0.3">
      <c r="B2" s="12" t="s">
        <v>81</v>
      </c>
      <c r="F2" s="142"/>
      <c r="G2" s="142"/>
      <c r="H2" s="54"/>
      <c r="I2" s="54"/>
      <c r="J2" s="54"/>
      <c r="K2" s="54"/>
      <c r="L2" s="54"/>
      <c r="M2" s="54"/>
      <c r="N2" s="54"/>
      <c r="O2" s="54"/>
      <c r="P2" s="143"/>
      <c r="Q2" s="144"/>
    </row>
    <row r="3" spans="2:17" ht="27.75" customHeight="1" x14ac:dyDescent="0.4">
      <c r="B3" s="13" t="s">
        <v>417</v>
      </c>
      <c r="F3" s="54"/>
      <c r="G3" s="54"/>
      <c r="H3" s="54"/>
      <c r="I3" s="54"/>
      <c r="J3" s="54"/>
      <c r="K3" s="54"/>
      <c r="L3" s="54"/>
      <c r="M3" s="54"/>
      <c r="N3" s="54"/>
      <c r="O3" s="54"/>
      <c r="P3" s="54"/>
      <c r="Q3" s="145"/>
    </row>
    <row r="4" spans="2:17" s="3" customFormat="1" ht="13" x14ac:dyDescent="0.3">
      <c r="B4" s="11"/>
      <c r="C4" s="11"/>
      <c r="D4" s="61"/>
      <c r="E4" s="142"/>
      <c r="F4" s="11"/>
      <c r="G4" s="11"/>
      <c r="H4" s="11"/>
      <c r="I4" s="11"/>
      <c r="J4" s="54"/>
      <c r="K4" s="54"/>
      <c r="L4" s="54"/>
      <c r="M4" s="54"/>
      <c r="N4" s="54"/>
      <c r="O4" s="54"/>
      <c r="P4" s="54"/>
      <c r="Q4" s="145"/>
    </row>
    <row r="5" spans="2:17" ht="13" x14ac:dyDescent="0.3">
      <c r="B5" s="3" t="s">
        <v>83</v>
      </c>
      <c r="C5" s="712"/>
      <c r="D5" s="712"/>
      <c r="E5" s="712"/>
      <c r="F5" s="712"/>
      <c r="G5" s="712"/>
      <c r="H5" s="11"/>
      <c r="I5" s="11"/>
      <c r="J5" s="54"/>
      <c r="K5" s="54"/>
      <c r="L5" s="54"/>
      <c r="M5" s="54"/>
      <c r="N5" s="54"/>
      <c r="O5" s="54"/>
      <c r="P5" s="54"/>
      <c r="Q5" s="145"/>
    </row>
    <row r="6" spans="2:17" ht="13" x14ac:dyDescent="0.3">
      <c r="B6" s="15" t="s">
        <v>347</v>
      </c>
      <c r="C6" s="394" t="s">
        <v>137</v>
      </c>
      <c r="D6" s="395"/>
      <c r="E6" s="395"/>
      <c r="F6" s="395"/>
      <c r="G6" s="396"/>
      <c r="H6" s="11"/>
      <c r="I6" s="11"/>
      <c r="J6" s="54"/>
      <c r="K6" s="54"/>
      <c r="L6" s="54"/>
      <c r="M6" s="54"/>
      <c r="N6" s="54"/>
      <c r="O6" s="54"/>
      <c r="P6" s="54"/>
      <c r="Q6" s="145"/>
    </row>
    <row r="7" spans="2:17" ht="13" x14ac:dyDescent="0.3">
      <c r="B7" s="372" t="s">
        <v>84</v>
      </c>
      <c r="C7" s="721" t="s">
        <v>138</v>
      </c>
      <c r="D7" s="722"/>
      <c r="E7" s="722"/>
      <c r="F7" s="722"/>
      <c r="G7" s="722"/>
      <c r="H7" s="11"/>
      <c r="I7" s="11"/>
      <c r="J7" s="54"/>
      <c r="K7" s="54"/>
      <c r="L7" s="54"/>
      <c r="M7" s="54"/>
      <c r="N7" s="54"/>
      <c r="O7" s="54"/>
      <c r="P7" s="54"/>
      <c r="Q7" s="145"/>
    </row>
    <row r="8" spans="2:17" ht="13" x14ac:dyDescent="0.3">
      <c r="B8" s="210" t="s">
        <v>86</v>
      </c>
      <c r="C8" s="723" t="s">
        <v>87</v>
      </c>
      <c r="D8" s="718"/>
      <c r="E8" s="718"/>
      <c r="F8" s="718"/>
      <c r="G8" s="718"/>
      <c r="H8" s="11"/>
      <c r="I8" s="11"/>
      <c r="J8" s="54"/>
      <c r="K8" s="54"/>
      <c r="L8" s="54"/>
      <c r="M8" s="54"/>
      <c r="N8" s="54"/>
      <c r="O8" s="54"/>
      <c r="P8" s="54"/>
      <c r="Q8" s="145"/>
    </row>
    <row r="9" spans="2:17" ht="13" x14ac:dyDescent="0.3">
      <c r="B9" s="321" t="s">
        <v>418</v>
      </c>
      <c r="C9" s="716" t="s">
        <v>419</v>
      </c>
      <c r="D9" s="717"/>
      <c r="E9" s="717"/>
      <c r="F9" s="718"/>
      <c r="G9" s="718"/>
      <c r="H9" s="11"/>
      <c r="I9" s="11"/>
      <c r="J9" s="54"/>
      <c r="K9" s="54"/>
      <c r="L9" s="54"/>
      <c r="M9" s="54"/>
      <c r="N9" s="54"/>
      <c r="O9" s="54"/>
      <c r="P9" s="54"/>
      <c r="Q9" s="145"/>
    </row>
    <row r="10" spans="2:17" ht="13" x14ac:dyDescent="0.3">
      <c r="B10" s="211" t="s">
        <v>141</v>
      </c>
      <c r="C10" s="719" t="s">
        <v>142</v>
      </c>
      <c r="D10" s="720"/>
      <c r="E10" s="720"/>
      <c r="F10" s="720"/>
      <c r="G10" s="720"/>
      <c r="H10" s="11"/>
      <c r="I10" s="11"/>
      <c r="J10" s="54"/>
      <c r="K10" s="54"/>
      <c r="L10" s="54"/>
      <c r="M10" s="54"/>
      <c r="N10" s="54"/>
      <c r="O10" s="54"/>
      <c r="P10" s="54"/>
      <c r="Q10" s="145"/>
    </row>
    <row r="11" spans="2:17" ht="13" x14ac:dyDescent="0.3">
      <c r="B11" s="317" t="s">
        <v>143</v>
      </c>
      <c r="C11" s="711" t="s">
        <v>144</v>
      </c>
      <c r="D11" s="711"/>
      <c r="E11" s="711"/>
      <c r="F11" s="711"/>
      <c r="G11" s="711"/>
      <c r="H11" s="49"/>
      <c r="I11" s="49"/>
      <c r="J11" s="49"/>
      <c r="K11" s="49"/>
      <c r="L11" s="49"/>
      <c r="M11" s="49"/>
    </row>
    <row r="12" spans="2:17" ht="13" x14ac:dyDescent="0.3">
      <c r="B12" s="24"/>
      <c r="C12" s="24"/>
      <c r="E12" s="60"/>
      <c r="F12" s="54"/>
      <c r="G12" s="54"/>
      <c r="H12" s="54"/>
      <c r="I12" s="54"/>
      <c r="J12" s="54"/>
      <c r="K12" s="54"/>
      <c r="L12" s="54"/>
      <c r="M12" s="54"/>
      <c r="N12" s="54"/>
      <c r="O12" s="54"/>
      <c r="P12" s="54"/>
      <c r="Q12" s="145"/>
    </row>
    <row r="13" spans="2:17" ht="13" x14ac:dyDescent="0.3">
      <c r="B13" s="98" t="s">
        <v>420</v>
      </c>
      <c r="E13" s="61"/>
      <c r="F13" s="54"/>
      <c r="G13" s="54"/>
      <c r="H13" s="54"/>
      <c r="I13" s="54"/>
      <c r="J13" s="54"/>
      <c r="K13" s="54"/>
      <c r="L13" s="54"/>
      <c r="M13" s="54"/>
      <c r="N13" s="54"/>
      <c r="O13" s="54"/>
      <c r="P13" s="54"/>
      <c r="Q13" s="145"/>
    </row>
    <row r="14" spans="2:17" ht="13" thickBot="1" x14ac:dyDescent="0.3">
      <c r="B14" s="24"/>
      <c r="C14" s="24"/>
      <c r="E14" s="134"/>
      <c r="F14" s="54"/>
      <c r="G14" s="54"/>
      <c r="H14" s="54"/>
      <c r="I14" s="54"/>
      <c r="J14" s="54"/>
      <c r="K14" s="54"/>
      <c r="L14" s="54"/>
      <c r="M14" s="54"/>
      <c r="N14" s="54"/>
      <c r="O14" s="54"/>
      <c r="P14" s="146"/>
      <c r="Q14" s="147"/>
    </row>
    <row r="15" spans="2:17" ht="18" thickBot="1" x14ac:dyDescent="0.5">
      <c r="B15" s="86" t="s">
        <v>421</v>
      </c>
      <c r="C15" s="3"/>
      <c r="O15" s="25"/>
    </row>
    <row r="16" spans="2:17" ht="72" customHeight="1" thickBot="1" x14ac:dyDescent="0.3">
      <c r="B16" s="713" t="s">
        <v>422</v>
      </c>
      <c r="C16" s="714"/>
      <c r="D16" s="714"/>
      <c r="E16" s="714"/>
      <c r="F16" s="714"/>
      <c r="G16" s="714"/>
      <c r="H16" s="714"/>
      <c r="I16" s="714"/>
      <c r="J16" s="715"/>
      <c r="O16" s="25"/>
    </row>
    <row r="17" spans="2:18" ht="13" x14ac:dyDescent="0.3">
      <c r="B17" s="46"/>
      <c r="C17" s="34"/>
      <c r="D17" s="148"/>
      <c r="E17" s="148"/>
      <c r="F17" s="148"/>
      <c r="G17" s="148"/>
      <c r="H17" s="148"/>
      <c r="I17" s="148"/>
      <c r="J17" s="148"/>
      <c r="O17" s="25"/>
    </row>
    <row r="18" spans="2:18" s="4" customFormat="1" ht="26" x14ac:dyDescent="0.3">
      <c r="B18" s="585">
        <f>'III. INPUT-Baseline'!$B$54</f>
        <v>0</v>
      </c>
      <c r="C18" s="585" t="str">
        <f>'III. INPUT-Baseline'!B125</f>
        <v>Uncovered anaerobic lagoon</v>
      </c>
      <c r="D18" s="149"/>
      <c r="E18" s="60"/>
      <c r="F18" s="60"/>
      <c r="G18" s="60"/>
      <c r="H18" s="60"/>
      <c r="I18" s="60"/>
      <c r="J18" s="60"/>
      <c r="P18" s="150"/>
      <c r="Q18" s="150"/>
      <c r="R18" s="150"/>
    </row>
    <row r="19" spans="2:18" ht="15" x14ac:dyDescent="0.4">
      <c r="B19" s="546" t="s">
        <v>423</v>
      </c>
      <c r="C19" s="586">
        <f>'III. INPUT-Baseline'!D97</f>
        <v>0</v>
      </c>
      <c r="E19" s="61"/>
      <c r="F19" s="60"/>
      <c r="G19" s="60"/>
      <c r="H19" s="60"/>
      <c r="I19" s="60"/>
      <c r="J19" s="60"/>
      <c r="K19" s="4"/>
      <c r="L19" s="4"/>
      <c r="M19" s="4"/>
      <c r="O19" s="4"/>
      <c r="P19" s="34"/>
      <c r="Q19" s="34"/>
      <c r="R19" s="34"/>
    </row>
    <row r="20" spans="2:18" ht="13" x14ac:dyDescent="0.3">
      <c r="B20" s="587"/>
      <c r="C20" s="588"/>
      <c r="E20" s="61"/>
      <c r="F20" s="60"/>
      <c r="G20" s="60"/>
      <c r="H20" s="60"/>
      <c r="I20" s="60"/>
      <c r="J20" s="60"/>
      <c r="K20" s="4"/>
      <c r="L20" s="4"/>
      <c r="M20" s="4"/>
      <c r="O20" s="4"/>
      <c r="P20" s="34"/>
      <c r="Q20" s="34"/>
      <c r="R20" s="34"/>
    </row>
    <row r="21" spans="2:18" ht="29" x14ac:dyDescent="0.4">
      <c r="B21" s="136" t="s">
        <v>246</v>
      </c>
      <c r="C21" s="136" t="s">
        <v>424</v>
      </c>
      <c r="D21" s="589" t="s">
        <v>425</v>
      </c>
      <c r="E21" s="590" t="s">
        <v>426</v>
      </c>
      <c r="F21" s="591" t="s">
        <v>427</v>
      </c>
      <c r="G21" s="590" t="s">
        <v>428</v>
      </c>
      <c r="H21" s="591" t="s">
        <v>429</v>
      </c>
      <c r="I21" s="591" t="s">
        <v>430</v>
      </c>
      <c r="J21" s="591" t="s">
        <v>431</v>
      </c>
    </row>
    <row r="22" spans="2:18" x14ac:dyDescent="0.25">
      <c r="B22" s="556" t="str">
        <f>'III. INPUT-Baseline'!$B$35</f>
        <v>-</v>
      </c>
      <c r="C22" s="594" t="e">
        <f>'III. INPUT-Baseline'!E35</f>
        <v>#N/A</v>
      </c>
      <c r="D22" s="151">
        <f>MIN(0.95, MAX(0.104,EXP(15175*(('III. INPUT-Baseline'!C35+273)-303.16)/(1.987*('III. INPUT-Baseline'!C35+273)*303.16))))</f>
        <v>0.104</v>
      </c>
      <c r="E22" s="373">
        <f t="shared" ref="E22:E34" si="0">$C$19</f>
        <v>0</v>
      </c>
      <c r="F22" s="151" t="e">
        <f>(E22*'III. INPUT-Baseline'!C73*'III. INPUT-Baseline'!$C$165*C22*0.8)+G22</f>
        <v>#N/A</v>
      </c>
      <c r="G22" s="592">
        <v>0</v>
      </c>
      <c r="H22" s="151" t="e">
        <f>F22*D22</f>
        <v>#N/A</v>
      </c>
      <c r="I22" s="151">
        <f>IF('III. INPUT-Baseline'!$D$35=0,0,(H22*'III. INPUT-Baseline'!$C$111*0.68*0.001)*(('III. INPUT-Baseline'!$G$35-'III. INPUT-Baseline'!$H$35)/'III. INPUT-Baseline'!$E$35))</f>
        <v>0</v>
      </c>
      <c r="J22" s="151">
        <f t="shared" ref="J22:J33" si="1">I22*gwp_ch4</f>
        <v>0</v>
      </c>
    </row>
    <row r="23" spans="2:18" x14ac:dyDescent="0.25">
      <c r="B23" s="556" t="str">
        <f>'III. INPUT-Baseline'!$B$36</f>
        <v>-</v>
      </c>
      <c r="C23" s="594" t="e">
        <f>'III. INPUT-Baseline'!E36</f>
        <v>#N/A</v>
      </c>
      <c r="D23" s="151">
        <f>MIN(0.95, MAX(0.104,EXP(15175*(('III. INPUT-Baseline'!C36+273)-303.16)/(1.987*('III. INPUT-Baseline'!C36+273)*303.16))))</f>
        <v>0.104</v>
      </c>
      <c r="E23" s="373">
        <f t="shared" si="0"/>
        <v>0</v>
      </c>
      <c r="F23" s="151" t="e">
        <f>(E23*'III. INPUT-Baseline'!C74*'III. INPUT-Baseline'!$C$165*C23*0.8)+G23</f>
        <v>#N/A</v>
      </c>
      <c r="G23" s="593" t="e">
        <f>IF('III. INPUT-Baseline'!$I$36=TRUE,0,IF('III. INPUT-Baseline'!$E$142=B22,0,IF('III. INPUT-Baseline'!$F$142=B22,0,IF('III. INPUT-Baseline'!$G$142=B22,0,IF('III. INPUT-Baseline'!$C$142="Yes",0,(F22-H22))))))</f>
        <v>#N/A</v>
      </c>
      <c r="H23" s="151" t="e">
        <f t="shared" ref="H23:H33" si="2">F23*D23</f>
        <v>#N/A</v>
      </c>
      <c r="I23" s="151">
        <f>IF('III. INPUT-Baseline'!$D$36=0,0,(H23*'III. INPUT-Baseline'!$C$111*0.68*0.001)*(('III. INPUT-Baseline'!$G$36-'III. INPUT-Baseline'!$H$36)/'III. INPUT-Baseline'!$E$36))</f>
        <v>0</v>
      </c>
      <c r="J23" s="151">
        <f t="shared" si="1"/>
        <v>0</v>
      </c>
    </row>
    <row r="24" spans="2:18" x14ac:dyDescent="0.25">
      <c r="B24" s="556" t="str">
        <f>'III. INPUT-Baseline'!$B$37</f>
        <v>-</v>
      </c>
      <c r="C24" s="594" t="e">
        <f>'III. INPUT-Baseline'!E37</f>
        <v>#N/A</v>
      </c>
      <c r="D24" s="151">
        <f>MIN(0.95, MAX(0.104,EXP(15175*(('III. INPUT-Baseline'!C37+273)-303.16)/(1.987*('III. INPUT-Baseline'!C37+273)*303.16))))</f>
        <v>0.104</v>
      </c>
      <c r="E24" s="373">
        <f t="shared" si="0"/>
        <v>0</v>
      </c>
      <c r="F24" s="151" t="e">
        <f>(E24*'III. INPUT-Baseline'!C75*'III. INPUT-Baseline'!$C$165*C24*0.8)+G24</f>
        <v>#N/A</v>
      </c>
      <c r="G24" s="593" t="e">
        <f>IF('III. INPUT-Baseline'!$I$37=TRUE,0,IF('III. INPUT-Baseline'!$E$142=B23,0,IF('III. INPUT-Baseline'!$F$142=B23,0,IF('III. INPUT-Baseline'!$G$142=B23,0,IF('III. INPUT-Baseline'!$C$142="Yes",0,(F23-H23))))))</f>
        <v>#N/A</v>
      </c>
      <c r="H24" s="151" t="e">
        <f t="shared" si="2"/>
        <v>#N/A</v>
      </c>
      <c r="I24" s="151">
        <f>IF('III. INPUT-Baseline'!$D$37=0,0,(H24*'III. INPUT-Baseline'!$C$111*0.68*0.001)*(('III. INPUT-Baseline'!$G$37-'III. INPUT-Baseline'!$H$37)/'III. INPUT-Baseline'!$E$37))</f>
        <v>0</v>
      </c>
      <c r="J24" s="151">
        <f t="shared" si="1"/>
        <v>0</v>
      </c>
    </row>
    <row r="25" spans="2:18" x14ac:dyDescent="0.25">
      <c r="B25" s="556" t="str">
        <f>'III. INPUT-Baseline'!$B$38</f>
        <v>-</v>
      </c>
      <c r="C25" s="594" t="e">
        <f>'III. INPUT-Baseline'!E38</f>
        <v>#N/A</v>
      </c>
      <c r="D25" s="151">
        <f>MIN(0.95, MAX(0.104,EXP(15175*(('III. INPUT-Baseline'!C38+273)-303.16)/(1.987*('III. INPUT-Baseline'!C38+273)*303.16))))</f>
        <v>0.104</v>
      </c>
      <c r="E25" s="373">
        <f t="shared" si="0"/>
        <v>0</v>
      </c>
      <c r="F25" s="151" t="e">
        <f>(E25*'III. INPUT-Baseline'!C76*'III. INPUT-Baseline'!$C$165*C25*0.8)+G25</f>
        <v>#N/A</v>
      </c>
      <c r="G25" s="593" t="e">
        <f>IF('III. INPUT-Baseline'!$I$38=TRUE,0,IF('III. INPUT-Baseline'!$E$142=B24,0,IF('III. INPUT-Baseline'!$F$142=B24,0,IF('III. INPUT-Baseline'!$G$142=B24,0,IF('III. INPUT-Baseline'!$C$142="Yes",0,(F24-H24))))))</f>
        <v>#N/A</v>
      </c>
      <c r="H25" s="151" t="e">
        <f t="shared" si="2"/>
        <v>#N/A</v>
      </c>
      <c r="I25" s="151">
        <f>IF('III. INPUT-Baseline'!$D$38=0,0,(H25*'III. INPUT-Baseline'!$C$111*0.68*0.001)*(('III. INPUT-Baseline'!$G$38-'III. INPUT-Baseline'!$H$38)/'III. INPUT-Baseline'!$E$38))</f>
        <v>0</v>
      </c>
      <c r="J25" s="151">
        <f t="shared" si="1"/>
        <v>0</v>
      </c>
    </row>
    <row r="26" spans="2:18" x14ac:dyDescent="0.25">
      <c r="B26" s="556" t="str">
        <f>'III. INPUT-Baseline'!$B$39</f>
        <v>-</v>
      </c>
      <c r="C26" s="594" t="e">
        <f>'III. INPUT-Baseline'!E39</f>
        <v>#N/A</v>
      </c>
      <c r="D26" s="151">
        <f>MIN(0.95, MAX(0.104,EXP(15175*(('III. INPUT-Baseline'!C39+273)-303.16)/(1.987*('III. INPUT-Baseline'!C39+273)*303.16))))</f>
        <v>0.104</v>
      </c>
      <c r="E26" s="373">
        <f t="shared" si="0"/>
        <v>0</v>
      </c>
      <c r="F26" s="151" t="e">
        <f>(E26*'III. INPUT-Baseline'!C77*'III. INPUT-Baseline'!$C$165*C26*0.8)+G26</f>
        <v>#N/A</v>
      </c>
      <c r="G26" s="593" t="e">
        <f>IF('III. INPUT-Baseline'!$I$39=TRUE,0,IF('III. INPUT-Baseline'!$E$142=B25,0,IF('III. INPUT-Baseline'!$F$142=B25,0,IF('III. INPUT-Baseline'!$G$142=B25,0,IF('III. INPUT-Baseline'!$C$142="Yes",0,(F25-H25))))))</f>
        <v>#N/A</v>
      </c>
      <c r="H26" s="151" t="e">
        <f t="shared" si="2"/>
        <v>#N/A</v>
      </c>
      <c r="I26" s="151">
        <f>IF('III. INPUT-Baseline'!$D$39=0,0,(H26*'III. INPUT-Baseline'!$C$111*0.68*0.001)*(('III. INPUT-Baseline'!$G$39-'III. INPUT-Baseline'!H39)/'III. INPUT-Baseline'!$E$39))</f>
        <v>0</v>
      </c>
      <c r="J26" s="151">
        <f t="shared" si="1"/>
        <v>0</v>
      </c>
    </row>
    <row r="27" spans="2:18" x14ac:dyDescent="0.25">
      <c r="B27" s="556" t="str">
        <f>'III. INPUT-Baseline'!$B$40</f>
        <v>-</v>
      </c>
      <c r="C27" s="594" t="e">
        <f>'III. INPUT-Baseline'!E40</f>
        <v>#N/A</v>
      </c>
      <c r="D27" s="151">
        <f>MIN(0.95, MAX(0.104,EXP(15175*(('III. INPUT-Baseline'!C40+273)-303.16)/(1.987*('III. INPUT-Baseline'!C40+273)*303.16))))</f>
        <v>0.104</v>
      </c>
      <c r="E27" s="373">
        <f t="shared" si="0"/>
        <v>0</v>
      </c>
      <c r="F27" s="151" t="e">
        <f>(E27*'III. INPUT-Baseline'!C78*'III. INPUT-Baseline'!$C$165*C27*0.8)+G27</f>
        <v>#N/A</v>
      </c>
      <c r="G27" s="593" t="e">
        <f>IF('III. INPUT-Baseline'!$I$40=TRUE,0,IF('III. INPUT-Baseline'!$E$142=B26,0,IF('III. INPUT-Baseline'!$F$142=B26,0,IF('III. INPUT-Baseline'!$G$142=B26,0,IF('III. INPUT-Baseline'!$C$142="Yes",0,(F26-H26))))))</f>
        <v>#N/A</v>
      </c>
      <c r="H27" s="151" t="e">
        <f t="shared" si="2"/>
        <v>#N/A</v>
      </c>
      <c r="I27" s="151">
        <f>IF('III. INPUT-Baseline'!$D$40=0,0,(H27*'III. INPUT-Baseline'!$C$111*0.68*0.001)*(('III. INPUT-Baseline'!$G$40-'III. INPUT-Baseline'!$H$40)/'III. INPUT-Baseline'!$E$40))</f>
        <v>0</v>
      </c>
      <c r="J27" s="151">
        <f t="shared" si="1"/>
        <v>0</v>
      </c>
    </row>
    <row r="28" spans="2:18" x14ac:dyDescent="0.25">
      <c r="B28" s="556" t="str">
        <f>'III. INPUT-Baseline'!$B$41</f>
        <v>-</v>
      </c>
      <c r="C28" s="594" t="e">
        <f>'III. INPUT-Baseline'!E41</f>
        <v>#N/A</v>
      </c>
      <c r="D28" s="151">
        <f>MIN(0.95, MAX(0.104,EXP(15175*(('III. INPUT-Baseline'!C41+273)-303.16)/(1.987*('III. INPUT-Baseline'!C41+273)*303.16))))</f>
        <v>0.104</v>
      </c>
      <c r="E28" s="373">
        <f t="shared" si="0"/>
        <v>0</v>
      </c>
      <c r="F28" s="151" t="e">
        <f>(E28*'III. INPUT-Baseline'!C79*'III. INPUT-Baseline'!$C$165*C28*0.8)+G28</f>
        <v>#N/A</v>
      </c>
      <c r="G28" s="593" t="e">
        <f>IF('III. INPUT-Baseline'!$I$41=TRUE,0,IF('III. INPUT-Baseline'!$E$142=B27,0,IF('III. INPUT-Baseline'!$F$142=B27,0,IF('III. INPUT-Baseline'!$G$142=B27,0,IF('III. INPUT-Baseline'!$C$142="Yes",0,(F27-H27))))))</f>
        <v>#N/A</v>
      </c>
      <c r="H28" s="151" t="e">
        <f t="shared" si="2"/>
        <v>#N/A</v>
      </c>
      <c r="I28" s="151">
        <f>IF('III. INPUT-Baseline'!$D$41=0,0,(H28*'III. INPUT-Baseline'!$C$111*0.68*0.001)*(('III. INPUT-Baseline'!$G$41-'III. INPUT-Baseline'!$H$41)/'III. INPUT-Baseline'!$E$41))</f>
        <v>0</v>
      </c>
      <c r="J28" s="151">
        <f t="shared" si="1"/>
        <v>0</v>
      </c>
    </row>
    <row r="29" spans="2:18" x14ac:dyDescent="0.25">
      <c r="B29" s="556" t="str">
        <f>'III. INPUT-Baseline'!$B$42</f>
        <v>-</v>
      </c>
      <c r="C29" s="594" t="e">
        <f>'III. INPUT-Baseline'!E42</f>
        <v>#N/A</v>
      </c>
      <c r="D29" s="151">
        <f>MIN(0.95, MAX(0.104,EXP(15175*(('III. INPUT-Baseline'!C42+273)-303.16)/(1.987*('III. INPUT-Baseline'!C42+273)*303.16))))</f>
        <v>0.104</v>
      </c>
      <c r="E29" s="373">
        <f t="shared" si="0"/>
        <v>0</v>
      </c>
      <c r="F29" s="151" t="e">
        <f>(E29*'III. INPUT-Baseline'!C80*'III. INPUT-Baseline'!$C$165*C29*0.8)+G29</f>
        <v>#N/A</v>
      </c>
      <c r="G29" s="593" t="e">
        <f>IF('III. INPUT-Baseline'!$I$42=TRUE,0,IF('III. INPUT-Baseline'!$E$142=B28,0,IF('III. INPUT-Baseline'!$F$142=B28,0,IF('III. INPUT-Baseline'!$G$142=B28,0,IF('III. INPUT-Baseline'!$C$142="Yes",0,(F28-H28))))))</f>
        <v>#N/A</v>
      </c>
      <c r="H29" s="151" t="e">
        <f t="shared" si="2"/>
        <v>#N/A</v>
      </c>
      <c r="I29" s="151">
        <f>IF('III. INPUT-Baseline'!$D$42=0,0,(H29*'III. INPUT-Baseline'!$C$111*0.68*0.001)*(('III. INPUT-Baseline'!$G$42-'III. INPUT-Baseline'!$H$42)/'III. INPUT-Baseline'!$E$42))</f>
        <v>0</v>
      </c>
      <c r="J29" s="151">
        <f t="shared" si="1"/>
        <v>0</v>
      </c>
    </row>
    <row r="30" spans="2:18" x14ac:dyDescent="0.25">
      <c r="B30" s="556" t="str">
        <f>'III. INPUT-Baseline'!$B$43</f>
        <v>-</v>
      </c>
      <c r="C30" s="594" t="e">
        <f>'III. INPUT-Baseline'!E43</f>
        <v>#N/A</v>
      </c>
      <c r="D30" s="151">
        <f>MIN(0.95, MAX(0.104,EXP(15175*(('III. INPUT-Baseline'!C43+273)-303.16)/(1.987*('III. INPUT-Baseline'!C43+273)*303.16))))</f>
        <v>0.104</v>
      </c>
      <c r="E30" s="373">
        <f t="shared" si="0"/>
        <v>0</v>
      </c>
      <c r="F30" s="151" t="e">
        <f>(E30*'III. INPUT-Baseline'!C81*'III. INPUT-Baseline'!$C$165*C30*0.8)+G30</f>
        <v>#N/A</v>
      </c>
      <c r="G30" s="593" t="e">
        <f>IF('III. INPUT-Baseline'!$I$43=TRUE,0,IF('III. INPUT-Baseline'!$E$142=B29,0,IF('III. INPUT-Baseline'!$F$142=B29,0,IF('III. INPUT-Baseline'!$G$142=B29,0,IF('III. INPUT-Baseline'!$C$142="Yes",0,(F29-H29))))))</f>
        <v>#N/A</v>
      </c>
      <c r="H30" s="151" t="e">
        <f t="shared" si="2"/>
        <v>#N/A</v>
      </c>
      <c r="I30" s="151">
        <f>IF('III. INPUT-Baseline'!$D$43=0,0,(H30*'III. INPUT-Baseline'!$C$111*0.68*0.001)*(('III. INPUT-Baseline'!$G$43-'III. INPUT-Baseline'!$H$43)/'III. INPUT-Baseline'!$E$43))</f>
        <v>0</v>
      </c>
      <c r="J30" s="151">
        <f t="shared" si="1"/>
        <v>0</v>
      </c>
    </row>
    <row r="31" spans="2:18" x14ac:dyDescent="0.25">
      <c r="B31" s="556" t="str">
        <f>'III. INPUT-Baseline'!$B$44</f>
        <v>-</v>
      </c>
      <c r="C31" s="594" t="e">
        <f>'III. INPUT-Baseline'!E44</f>
        <v>#N/A</v>
      </c>
      <c r="D31" s="151">
        <f>MIN(0.95, MAX(0.104,EXP(15175*(('III. INPUT-Baseline'!C44+273)-303.16)/(1.987*('III. INPUT-Baseline'!C44+273)*303.16))))</f>
        <v>0.104</v>
      </c>
      <c r="E31" s="373">
        <f t="shared" si="0"/>
        <v>0</v>
      </c>
      <c r="F31" s="151" t="e">
        <f>(E31*'III. INPUT-Baseline'!C82*'III. INPUT-Baseline'!$C$165*C31*0.8)+G31</f>
        <v>#N/A</v>
      </c>
      <c r="G31" s="593" t="e">
        <f>IF('III. INPUT-Baseline'!$I$44=TRUE,0,IF('III. INPUT-Baseline'!$E$142=B30,0,IF('III. INPUT-Baseline'!$F$142=B30,0,IF('III. INPUT-Baseline'!$G$142=B30,0,IF('III. INPUT-Baseline'!$C$142="Yes",0,(F30-H30))))))</f>
        <v>#N/A</v>
      </c>
      <c r="H31" s="151" t="e">
        <f t="shared" si="2"/>
        <v>#N/A</v>
      </c>
      <c r="I31" s="151">
        <f>IF('III. INPUT-Baseline'!$D$44=0,0,(H31*'III. INPUT-Baseline'!$C$111*0.68*0.001)*(('III. INPUT-Baseline'!$G$44-'III. INPUT-Baseline'!$H$44)/'III. INPUT-Baseline'!$E$44))</f>
        <v>0</v>
      </c>
      <c r="J31" s="151">
        <f t="shared" si="1"/>
        <v>0</v>
      </c>
    </row>
    <row r="32" spans="2:18" x14ac:dyDescent="0.25">
      <c r="B32" s="556" t="str">
        <f>'III. INPUT-Baseline'!$B$45</f>
        <v>-</v>
      </c>
      <c r="C32" s="594" t="e">
        <f>'III. INPUT-Baseline'!E45</f>
        <v>#N/A</v>
      </c>
      <c r="D32" s="151">
        <f>MIN(0.95, MAX(0.104,EXP(15175*(('III. INPUT-Baseline'!C45+273)-303.16)/(1.987*('III. INPUT-Baseline'!C45+273)*303.16))))</f>
        <v>0.104</v>
      </c>
      <c r="E32" s="373">
        <f t="shared" si="0"/>
        <v>0</v>
      </c>
      <c r="F32" s="151" t="e">
        <f>(E32*'III. INPUT-Baseline'!C83*'III. INPUT-Baseline'!$C$165*C32*0.8)+G32</f>
        <v>#N/A</v>
      </c>
      <c r="G32" s="593" t="e">
        <f>IF('III. INPUT-Baseline'!$I$45=TRUE,0,IF('III. INPUT-Baseline'!$E$142=B31,0,IF('III. INPUT-Baseline'!$F$142=B31,0,IF('III. INPUT-Baseline'!$G$142=B31,0,IF('III. INPUT-Baseline'!$C$142="Yes",0,(F31-H31))))))</f>
        <v>#N/A</v>
      </c>
      <c r="H32" s="151" t="e">
        <f t="shared" si="2"/>
        <v>#N/A</v>
      </c>
      <c r="I32" s="151">
        <f>IF('III. INPUT-Baseline'!$D$45=0,0,(H32*'III. INPUT-Baseline'!$C$111*0.68*0.001)*(('III. INPUT-Baseline'!$G$45-'III. INPUT-Baseline'!$H$45)/'III. INPUT-Baseline'!$E$45))</f>
        <v>0</v>
      </c>
      <c r="J32" s="151">
        <f t="shared" si="1"/>
        <v>0</v>
      </c>
    </row>
    <row r="33" spans="1:94" x14ac:dyDescent="0.25">
      <c r="B33" s="556" t="str">
        <f>'III. INPUT-Baseline'!$B$46</f>
        <v>-</v>
      </c>
      <c r="C33" s="594" t="e">
        <f>'III. INPUT-Baseline'!E46</f>
        <v>#N/A</v>
      </c>
      <c r="D33" s="151">
        <f>MIN(0.95, MAX(0.104,EXP(15175*(('III. INPUT-Baseline'!C46+273)-303.16)/(1.987*('III. INPUT-Baseline'!C46+273)*303.16))))</f>
        <v>0.104</v>
      </c>
      <c r="E33" s="373">
        <f t="shared" si="0"/>
        <v>0</v>
      </c>
      <c r="F33" s="151" t="e">
        <f>(E33*'III. INPUT-Baseline'!C84*'III. INPUT-Baseline'!$C$165*C33*0.8)+G33</f>
        <v>#N/A</v>
      </c>
      <c r="G33" s="593" t="e">
        <f>IF('III. INPUT-Baseline'!$I$46=TRUE,0,IF('III. INPUT-Baseline'!$E$142=B32,0,IF('III. INPUT-Baseline'!$F$142=B32,0,IF('III. INPUT-Baseline'!$G$142=B32,0,IF('III. INPUT-Baseline'!$C$142="Yes",0,(F32-H32))))))</f>
        <v>#N/A</v>
      </c>
      <c r="H33" s="151" t="e">
        <f t="shared" si="2"/>
        <v>#N/A</v>
      </c>
      <c r="I33" s="151">
        <f>IF('III. INPUT-Baseline'!$D$46=0,0,(H33*'III. INPUT-Baseline'!$C$111*0.68*0.001)*(('III. INPUT-Baseline'!$G$46-'III. INPUT-Baseline'!$H$46)/'III. INPUT-Baseline'!$E$46))</f>
        <v>0</v>
      </c>
      <c r="J33" s="151">
        <f t="shared" si="1"/>
        <v>0</v>
      </c>
    </row>
    <row r="34" spans="1:94" x14ac:dyDescent="0.25">
      <c r="B34" s="556" t="str">
        <f>'III. INPUT-Baseline'!$B$47</f>
        <v>-</v>
      </c>
      <c r="C34" s="594" t="e">
        <f>'III. INPUT-Baseline'!E47</f>
        <v>#N/A</v>
      </c>
      <c r="D34" s="151">
        <f>MIN(0.95, MAX(0.104,EXP(15175*(('III. INPUT-Baseline'!C47+273)-303.16)/(1.987*('III. INPUT-Baseline'!C47+273)*303.16))))</f>
        <v>0.104</v>
      </c>
      <c r="E34" s="373">
        <f t="shared" si="0"/>
        <v>0</v>
      </c>
      <c r="F34" s="151" t="e">
        <f>(E34*'III. INPUT-Baseline'!C85*'III. INPUT-Baseline'!$C$165*C34*0.8)+G34</f>
        <v>#N/A</v>
      </c>
      <c r="G34" s="593" t="e">
        <f>IF('III. INPUT-Baseline'!$I$47=TRUE,0,IF('III. INPUT-Baseline'!$E$142=B33,0,IF('III. INPUT-Baseline'!$F$142=B33,0,IF('III. INPUT-Baseline'!$G$142=B33,0,IF('III. INPUT-Baseline'!$C$142="Yes",0,(F33-H33))))))</f>
        <v>#N/A</v>
      </c>
      <c r="H34" s="151" t="e">
        <f t="shared" ref="H34" si="3">F34*D34</f>
        <v>#N/A</v>
      </c>
      <c r="I34" s="151">
        <f>IF('III. INPUT-Baseline'!$D$47=0,0,(H34*'III. INPUT-Baseline'!$C$111*0.68*0.001)*(('III. INPUT-Baseline'!$G$47-'III. INPUT-Baseline'!$H$47)/'III. INPUT-Baseline'!$E$47))</f>
        <v>0</v>
      </c>
      <c r="J34" s="151">
        <f t="shared" ref="J34" si="4">I34*gwp_ch4</f>
        <v>0</v>
      </c>
    </row>
    <row r="35" spans="1:94" s="3" customFormat="1" ht="13" x14ac:dyDescent="0.3">
      <c r="B35" s="596" t="s">
        <v>432</v>
      </c>
      <c r="C35" s="597"/>
      <c r="D35" s="598"/>
      <c r="E35" s="598"/>
      <c r="F35" s="598"/>
      <c r="G35" s="599"/>
      <c r="H35" s="595" t="e">
        <f>SUM(H22:H34)</f>
        <v>#N/A</v>
      </c>
      <c r="I35" s="595">
        <f>SUM(I22:I34)</f>
        <v>0</v>
      </c>
      <c r="J35" s="595">
        <f>SUM(J22:J34)</f>
        <v>0</v>
      </c>
      <c r="K35" s="153"/>
      <c r="L35" s="153"/>
      <c r="M35" s="154"/>
      <c r="N35" s="154"/>
      <c r="O35" s="4"/>
      <c r="Q35" s="153"/>
    </row>
    <row r="36" spans="1:94" s="3" customFormat="1" ht="13" x14ac:dyDescent="0.3">
      <c r="D36" s="60"/>
      <c r="E36" s="60"/>
      <c r="F36" s="61"/>
      <c r="G36" s="61"/>
      <c r="H36" s="61"/>
      <c r="I36" s="61"/>
      <c r="J36" s="61"/>
      <c r="K36" s="153"/>
      <c r="L36" s="153"/>
      <c r="M36" s="154"/>
      <c r="N36" s="154"/>
      <c r="O36" s="4"/>
      <c r="Q36" s="153"/>
    </row>
    <row r="37" spans="1:94" s="157" customFormat="1" ht="13" x14ac:dyDescent="0.3">
      <c r="A37" s="49"/>
      <c r="B37" s="4"/>
      <c r="C37" s="4"/>
      <c r="D37" s="134"/>
      <c r="E37" s="656" t="s">
        <v>433</v>
      </c>
      <c r="F37" s="675"/>
      <c r="G37" s="675"/>
      <c r="H37" s="675"/>
      <c r="I37" s="675"/>
      <c r="J37" s="676"/>
      <c r="K37" s="4"/>
      <c r="L37" s="4"/>
      <c r="M37" s="4"/>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row>
    <row r="38" spans="1:94" s="64" customFormat="1" ht="13" x14ac:dyDescent="0.3">
      <c r="A38" s="11"/>
      <c r="B38" s="3"/>
      <c r="C38" s="4"/>
      <c r="D38" s="39"/>
      <c r="E38" s="677"/>
      <c r="F38" s="678"/>
      <c r="G38" s="678"/>
      <c r="H38" s="678"/>
      <c r="I38" s="678"/>
      <c r="J38" s="679"/>
      <c r="K38" s="4"/>
      <c r="L38" s="4"/>
      <c r="M38" s="4"/>
      <c r="N38" s="11"/>
      <c r="O38" s="49"/>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row>
    <row r="39" spans="1:94" s="64" customFormat="1" ht="13" x14ac:dyDescent="0.3">
      <c r="A39" s="11"/>
      <c r="B39" s="3"/>
      <c r="C39" s="4"/>
      <c r="D39" s="39"/>
      <c r="E39" s="680"/>
      <c r="F39" s="681"/>
      <c r="G39" s="681"/>
      <c r="H39" s="681"/>
      <c r="I39" s="681"/>
      <c r="J39" s="682"/>
      <c r="K39" s="4"/>
      <c r="L39" s="4"/>
      <c r="M39" s="4"/>
      <c r="N39" s="11"/>
      <c r="O39" s="49"/>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row>
    <row r="40" spans="1:94" ht="13" x14ac:dyDescent="0.3">
      <c r="B40" s="585">
        <f>B18</f>
        <v>0</v>
      </c>
      <c r="C40" s="585">
        <f>'III. INPUT-Baseline'!B126</f>
        <v>0</v>
      </c>
      <c r="D40" s="149"/>
      <c r="E40" s="60"/>
      <c r="F40" s="60"/>
      <c r="G40" s="60"/>
      <c r="H40" s="60"/>
      <c r="I40" s="60"/>
      <c r="J40" s="60"/>
      <c r="K40" s="34"/>
      <c r="L40" s="34"/>
      <c r="M40" s="34"/>
    </row>
    <row r="41" spans="1:94" ht="15" x14ac:dyDescent="0.4">
      <c r="B41" s="546" t="s">
        <v>423</v>
      </c>
      <c r="C41" s="586">
        <f>C19</f>
        <v>0</v>
      </c>
      <c r="E41" s="61"/>
      <c r="F41" s="60"/>
      <c r="G41" s="60"/>
      <c r="H41" s="60"/>
      <c r="I41" s="60"/>
      <c r="J41" s="60"/>
      <c r="K41" s="94"/>
      <c r="L41" s="94"/>
      <c r="O41" s="49"/>
      <c r="P41" s="25"/>
    </row>
    <row r="42" spans="1:94" ht="13" x14ac:dyDescent="0.3">
      <c r="B42" s="596"/>
      <c r="C42" s="600"/>
      <c r="E42" s="61"/>
      <c r="F42" s="60"/>
      <c r="G42" s="60"/>
      <c r="H42" s="60"/>
      <c r="I42" s="60"/>
      <c r="J42" s="60"/>
      <c r="N42" s="3"/>
      <c r="O42" s="49"/>
    </row>
    <row r="43" spans="1:94" ht="29" x14ac:dyDescent="0.4">
      <c r="B43" s="136" t="s">
        <v>246</v>
      </c>
      <c r="C43" s="136" t="s">
        <v>424</v>
      </c>
      <c r="D43" s="589" t="s">
        <v>425</v>
      </c>
      <c r="E43" s="590" t="s">
        <v>426</v>
      </c>
      <c r="F43" s="591" t="s">
        <v>427</v>
      </c>
      <c r="G43" s="590" t="s">
        <v>428</v>
      </c>
      <c r="H43" s="591" t="s">
        <v>429</v>
      </c>
      <c r="I43" s="591" t="s">
        <v>430</v>
      </c>
      <c r="J43" s="591" t="s">
        <v>431</v>
      </c>
    </row>
    <row r="44" spans="1:94" x14ac:dyDescent="0.25">
      <c r="B44" s="556" t="str">
        <f>'III. INPUT-Baseline'!$B$35</f>
        <v>-</v>
      </c>
      <c r="C44" s="594" t="e">
        <f>$C$22</f>
        <v>#N/A</v>
      </c>
      <c r="D44" s="151">
        <f>MIN(0.95, MAX(0.104,EXP(15175*(('III. INPUT-Baseline'!$C$35+273)-303.16)/(1.987*('III. INPUT-Baseline'!$C$35+273)*303.16))))</f>
        <v>0.104</v>
      </c>
      <c r="E44" s="366">
        <f t="shared" ref="E44:E56" si="5">$C$41</f>
        <v>0</v>
      </c>
      <c r="F44" s="158" t="e">
        <f>(E44*'III. INPUT-Baseline'!C73*'III. INPUT-Baseline'!$C$166*C44*0.8)+G44</f>
        <v>#N/A</v>
      </c>
      <c r="G44" s="592">
        <v>0</v>
      </c>
      <c r="H44" s="158" t="e">
        <f>F44*D44</f>
        <v>#N/A</v>
      </c>
      <c r="I44" s="151">
        <f>IF('III. INPUT-Baseline'!D35=0,0,(H44*'III. INPUT-Baseline'!$C$111*0.68*0.001)*(('III. INPUT-Baseline'!G35-'III. INPUT-Baseline'!H35)/'III. INPUT-Baseline'!E35))</f>
        <v>0</v>
      </c>
      <c r="J44" s="158">
        <f t="shared" ref="J44:J55" si="6">I44*gwp_ch4</f>
        <v>0</v>
      </c>
    </row>
    <row r="45" spans="1:94" x14ac:dyDescent="0.25">
      <c r="B45" s="556" t="str">
        <f>'III. INPUT-Baseline'!$B$36</f>
        <v>-</v>
      </c>
      <c r="C45" s="594" t="e">
        <f>$C$23</f>
        <v>#N/A</v>
      </c>
      <c r="D45" s="151">
        <f>MIN(0.95, MAX(0.104,EXP(15175*(('III. INPUT-Baseline'!$C$36+273)-303.16)/(1.987*('III. INPUT-Baseline'!$C$36+273)*303.16))))</f>
        <v>0.104</v>
      </c>
      <c r="E45" s="366">
        <f t="shared" si="5"/>
        <v>0</v>
      </c>
      <c r="F45" s="158" t="e">
        <f>(E45*'III. INPUT-Baseline'!C74*'III. INPUT-Baseline'!$C$166*C45*0.8)+G45</f>
        <v>#N/A</v>
      </c>
      <c r="G45" s="593">
        <f>IF('III. INPUT-Baseline'!$I36=TRUE,0,IF('III. INPUT-Baseline'!$E$143=B44,0,IF('III. INPUT-Baseline'!$F$143=B44,0,IF('III. INPUT-Baseline'!$G$143=B44,0,IF('III. INPUT-Baseline'!$C$143="Yes",0,(F44-H44))))))</f>
        <v>0</v>
      </c>
      <c r="H45" s="158" t="e">
        <f t="shared" ref="H45:H55" si="7">F45*D45</f>
        <v>#N/A</v>
      </c>
      <c r="I45" s="151">
        <f>IF('III. INPUT-Baseline'!D36=0,0,(H45*'III. INPUT-Baseline'!$C$111*0.68*0.001)*(('III. INPUT-Baseline'!G36-'III. INPUT-Baseline'!H36)/'III. INPUT-Baseline'!E36))</f>
        <v>0</v>
      </c>
      <c r="J45" s="158">
        <f t="shared" si="6"/>
        <v>0</v>
      </c>
    </row>
    <row r="46" spans="1:94" x14ac:dyDescent="0.25">
      <c r="B46" s="556" t="str">
        <f>'III. INPUT-Baseline'!$B$37</f>
        <v>-</v>
      </c>
      <c r="C46" s="594" t="e">
        <f>$C$24</f>
        <v>#N/A</v>
      </c>
      <c r="D46" s="151">
        <f>MIN(0.95, MAX(0.104,EXP(15175*(('III. INPUT-Baseline'!$C$37+273)-303.16)/(1.987*('III. INPUT-Baseline'!$C$37+273)*303.16))))</f>
        <v>0.104</v>
      </c>
      <c r="E46" s="366">
        <f t="shared" si="5"/>
        <v>0</v>
      </c>
      <c r="F46" s="158" t="e">
        <f>(E46*'III. INPUT-Baseline'!C75*'III. INPUT-Baseline'!$C$166*C46*0.8)+G46</f>
        <v>#N/A</v>
      </c>
      <c r="G46" s="593">
        <f>IF('III. INPUT-Baseline'!$I37=TRUE,0,IF('III. INPUT-Baseline'!$E$143=B45,0,IF('III. INPUT-Baseline'!$F$143=B45,0,IF('III. INPUT-Baseline'!$G$143=B45,0,IF('III. INPUT-Baseline'!$C$143="Yes",0,(F45-H45))))))</f>
        <v>0</v>
      </c>
      <c r="H46" s="158" t="e">
        <f t="shared" si="7"/>
        <v>#N/A</v>
      </c>
      <c r="I46" s="151">
        <f>IF('III. INPUT-Baseline'!D37=0,0,(H46*'III. INPUT-Baseline'!$C$111*0.68*0.001)*(('III. INPUT-Baseline'!G37-'III. INPUT-Baseline'!H37)/'III. INPUT-Baseline'!E37))</f>
        <v>0</v>
      </c>
      <c r="J46" s="158">
        <f t="shared" si="6"/>
        <v>0</v>
      </c>
    </row>
    <row r="47" spans="1:94" x14ac:dyDescent="0.25">
      <c r="B47" s="556" t="str">
        <f>'III. INPUT-Baseline'!$B$38</f>
        <v>-</v>
      </c>
      <c r="C47" s="594" t="e">
        <f>$C$25</f>
        <v>#N/A</v>
      </c>
      <c r="D47" s="151">
        <f>MIN(0.95, MAX(0.104,EXP(15175*(('III. INPUT-Baseline'!$C$38+273)-303.16)/(1.987*('III. INPUT-Baseline'!$C$38+273)*303.16))))</f>
        <v>0.104</v>
      </c>
      <c r="E47" s="366">
        <f t="shared" si="5"/>
        <v>0</v>
      </c>
      <c r="F47" s="158" t="e">
        <f>(E47*'III. INPUT-Baseline'!C76*'III. INPUT-Baseline'!$C$166*C47*0.8)+G47</f>
        <v>#N/A</v>
      </c>
      <c r="G47" s="593">
        <f>IF('III. INPUT-Baseline'!$I38=TRUE,0,IF('III. INPUT-Baseline'!$E$143=B46,0,IF('III. INPUT-Baseline'!$F$143=B46,0,IF('III. INPUT-Baseline'!$G$143=B46,0,IF('III. INPUT-Baseline'!$C$143="Yes",0,(F46-H46))))))</f>
        <v>0</v>
      </c>
      <c r="H47" s="158" t="e">
        <f t="shared" si="7"/>
        <v>#N/A</v>
      </c>
      <c r="I47" s="151">
        <f>IF('III. INPUT-Baseline'!D38=0,0,(H47*'III. INPUT-Baseline'!$C$111*0.68*0.001)*(('III. INPUT-Baseline'!G38-'III. INPUT-Baseline'!H38)/'III. INPUT-Baseline'!E38))</f>
        <v>0</v>
      </c>
      <c r="J47" s="158">
        <f t="shared" si="6"/>
        <v>0</v>
      </c>
    </row>
    <row r="48" spans="1:94" x14ac:dyDescent="0.25">
      <c r="B48" s="556" t="str">
        <f>'III. INPUT-Baseline'!$B$39</f>
        <v>-</v>
      </c>
      <c r="C48" s="594" t="e">
        <f>$C$26</f>
        <v>#N/A</v>
      </c>
      <c r="D48" s="151">
        <f>MIN(0.95, MAX(0.104,EXP(15175*(('III. INPUT-Baseline'!$C$39+273)-303.16)/(1.987*('III. INPUT-Baseline'!$C$39+273)*303.16))))</f>
        <v>0.104</v>
      </c>
      <c r="E48" s="366">
        <f t="shared" si="5"/>
        <v>0</v>
      </c>
      <c r="F48" s="158" t="e">
        <f>(E48*'III. INPUT-Baseline'!C77*'III. INPUT-Baseline'!$C$166*C48*0.8)+G48</f>
        <v>#N/A</v>
      </c>
      <c r="G48" s="593">
        <f>IF('III. INPUT-Baseline'!$I39=TRUE,0,IF('III. INPUT-Baseline'!$E$143=B47,0,IF('III. INPUT-Baseline'!$F$143=B47,0,IF('III. INPUT-Baseline'!$G$143=B47,0,IF('III. INPUT-Baseline'!$C$143="Yes",0,(F47-H47))))))</f>
        <v>0</v>
      </c>
      <c r="H48" s="158" t="e">
        <f t="shared" si="7"/>
        <v>#N/A</v>
      </c>
      <c r="I48" s="151">
        <f>IF('III. INPUT-Baseline'!D39=0,0,(H48*'III. INPUT-Baseline'!$C$111*0.68*0.001)*(('III. INPUT-Baseline'!G39-'III. INPUT-Baseline'!H39)/'III. INPUT-Baseline'!E39))</f>
        <v>0</v>
      </c>
      <c r="J48" s="158">
        <f t="shared" si="6"/>
        <v>0</v>
      </c>
    </row>
    <row r="49" spans="1:94" s="3" customFormat="1" ht="13" x14ac:dyDescent="0.3">
      <c r="B49" s="556" t="str">
        <f>'III. INPUT-Baseline'!$B$40</f>
        <v>-</v>
      </c>
      <c r="C49" s="594" t="e">
        <f>$C$27</f>
        <v>#N/A</v>
      </c>
      <c r="D49" s="151">
        <f>MIN(0.95, MAX(0.104,EXP(15175*(('III. INPUT-Baseline'!$C$40+273)-303.16)/(1.987*('III. INPUT-Baseline'!$C$40+273)*303.16))))</f>
        <v>0.104</v>
      </c>
      <c r="E49" s="366">
        <f t="shared" si="5"/>
        <v>0</v>
      </c>
      <c r="F49" s="158" t="e">
        <f>(E49*'III. INPUT-Baseline'!C78*'III. INPUT-Baseline'!$C$166*C49*0.8)+G49</f>
        <v>#N/A</v>
      </c>
      <c r="G49" s="593">
        <f>IF('III. INPUT-Baseline'!$I40=TRUE,0,IF('III. INPUT-Baseline'!$E$143=B48,0,IF('III. INPUT-Baseline'!$F$143=B48,0,IF('III. INPUT-Baseline'!$G$143=B48,0,IF('III. INPUT-Baseline'!$C$143="Yes",0,(F48-H48))))))</f>
        <v>0</v>
      </c>
      <c r="H49" s="158" t="e">
        <f t="shared" si="7"/>
        <v>#N/A</v>
      </c>
      <c r="I49" s="151">
        <f>IF('III. INPUT-Baseline'!D40=0,0,(H49*'III. INPUT-Baseline'!$C$111*0.68*0.001)*(('III. INPUT-Baseline'!G40-'III. INPUT-Baseline'!H40)/'III. INPUT-Baseline'!E40))</f>
        <v>0</v>
      </c>
      <c r="J49" s="158">
        <f t="shared" si="6"/>
        <v>0</v>
      </c>
      <c r="K49" s="153"/>
      <c r="L49" s="153"/>
      <c r="M49" s="154"/>
    </row>
    <row r="50" spans="1:94" x14ac:dyDescent="0.25">
      <c r="B50" s="556" t="str">
        <f>'III. INPUT-Baseline'!$B$41</f>
        <v>-</v>
      </c>
      <c r="C50" s="594" t="e">
        <f>$C$28</f>
        <v>#N/A</v>
      </c>
      <c r="D50" s="151">
        <f>MIN(0.95, MAX(0.104,EXP(15175*(('III. INPUT-Baseline'!$C$41+273)-303.16)/(1.987*('III. INPUT-Baseline'!$C$41+273)*303.16))))</f>
        <v>0.104</v>
      </c>
      <c r="E50" s="366">
        <f t="shared" si="5"/>
        <v>0</v>
      </c>
      <c r="F50" s="158" t="e">
        <f>(E50*'III. INPUT-Baseline'!C79*'III. INPUT-Baseline'!$C$166*C50*0.8)+G50</f>
        <v>#N/A</v>
      </c>
      <c r="G50" s="593">
        <f>IF('III. INPUT-Baseline'!$I41=TRUE,0,IF('III. INPUT-Baseline'!$E$143=B49,0,IF('III. INPUT-Baseline'!$F$143=B49,0,IF('III. INPUT-Baseline'!$G$143=B49,0,IF('III. INPUT-Baseline'!$C$143="Yes",0,(F49-H49))))))</f>
        <v>0</v>
      </c>
      <c r="H50" s="158" t="e">
        <f t="shared" si="7"/>
        <v>#N/A</v>
      </c>
      <c r="I50" s="151">
        <f>IF('III. INPUT-Baseline'!D41=0,0,(H50*'III. INPUT-Baseline'!$C$111*0.68*0.001)*(('III. INPUT-Baseline'!G41-'III. INPUT-Baseline'!H41)/'III. INPUT-Baseline'!E41))</f>
        <v>0</v>
      </c>
      <c r="J50" s="158">
        <f t="shared" si="6"/>
        <v>0</v>
      </c>
    </row>
    <row r="51" spans="1:94" s="49" customFormat="1" ht="13" x14ac:dyDescent="0.3">
      <c r="B51" s="556" t="str">
        <f>'III. INPUT-Baseline'!$B$42</f>
        <v>-</v>
      </c>
      <c r="C51" s="594" t="e">
        <f>$C$29</f>
        <v>#N/A</v>
      </c>
      <c r="D51" s="151">
        <f>MIN(0.95, MAX(0.104,EXP(15175*(('III. INPUT-Baseline'!$C$42+273)-303.16)/(1.987*('III. INPUT-Baseline'!$C$42+273)*303.16))))</f>
        <v>0.104</v>
      </c>
      <c r="E51" s="366">
        <f t="shared" si="5"/>
        <v>0</v>
      </c>
      <c r="F51" s="158" t="e">
        <f>(E51*'III. INPUT-Baseline'!C80*'III. INPUT-Baseline'!$C$166*C51*0.8)+G51</f>
        <v>#N/A</v>
      </c>
      <c r="G51" s="593">
        <f>IF('III. INPUT-Baseline'!$I42=TRUE,0,IF('III. INPUT-Baseline'!$E$143=B50,0,IF('III. INPUT-Baseline'!$F$143=B50,0,IF('III. INPUT-Baseline'!$G$143=B50,0,IF('III. INPUT-Baseline'!$C$143="Yes",0,(F50-H50))))))</f>
        <v>0</v>
      </c>
      <c r="H51" s="158" t="e">
        <f t="shared" si="7"/>
        <v>#N/A</v>
      </c>
      <c r="I51" s="151">
        <f>IF('III. INPUT-Baseline'!D42=0,0,(H51*'III. INPUT-Baseline'!$C$111*0.68*0.001)*(('III. INPUT-Baseline'!G42-'III. INPUT-Baseline'!H42)/'III. INPUT-Baseline'!E42))</f>
        <v>0</v>
      </c>
      <c r="J51" s="158">
        <f t="shared" si="6"/>
        <v>0</v>
      </c>
      <c r="K51" s="4"/>
      <c r="L51" s="4"/>
      <c r="M51" s="4"/>
      <c r="O51" s="4"/>
      <c r="P51" s="135"/>
      <c r="Q51" s="135"/>
      <c r="R51" s="135"/>
    </row>
    <row r="52" spans="1:94" ht="13" x14ac:dyDescent="0.3">
      <c r="B52" s="556" t="str">
        <f>'III. INPUT-Baseline'!$B$43</f>
        <v>-</v>
      </c>
      <c r="C52" s="594" t="e">
        <f>$C$30</f>
        <v>#N/A</v>
      </c>
      <c r="D52" s="151">
        <f>MIN(0.95, MAX(0.104,EXP(15175*(('III. INPUT-Baseline'!$C$43+273)-303.16)/(1.987*('III. INPUT-Baseline'!$C$43+273)*303.16))))</f>
        <v>0.104</v>
      </c>
      <c r="E52" s="366">
        <f t="shared" si="5"/>
        <v>0</v>
      </c>
      <c r="F52" s="158" t="e">
        <f>(E52*'III. INPUT-Baseline'!C81*'III. INPUT-Baseline'!$C$166*C52*0.8)+G52</f>
        <v>#N/A</v>
      </c>
      <c r="G52" s="593">
        <f>IF('III. INPUT-Baseline'!$I43=TRUE,0,IF('III. INPUT-Baseline'!$E$143=B51,0,IF('III. INPUT-Baseline'!$F$143=B51,0,IF('III. INPUT-Baseline'!$G$143=B51,0,IF('III. INPUT-Baseline'!$C$143="Yes",0,(F51-H51))))))</f>
        <v>0</v>
      </c>
      <c r="H52" s="158" t="e">
        <f t="shared" si="7"/>
        <v>#N/A</v>
      </c>
      <c r="I52" s="151">
        <f>IF('III. INPUT-Baseline'!D43=0,0,(H52*'III. INPUT-Baseline'!$C$111*0.68*0.001)*(('III. INPUT-Baseline'!G43-'III. INPUT-Baseline'!H43)/'III. INPUT-Baseline'!E43))</f>
        <v>0</v>
      </c>
      <c r="J52" s="158">
        <f t="shared" si="6"/>
        <v>0</v>
      </c>
      <c r="K52" s="4"/>
      <c r="L52" s="4"/>
      <c r="M52" s="4"/>
      <c r="O52" s="4"/>
      <c r="P52" s="34"/>
      <c r="Q52" s="34"/>
      <c r="R52" s="34"/>
    </row>
    <row r="53" spans="1:94" ht="13" x14ac:dyDescent="0.3">
      <c r="B53" s="556" t="str">
        <f>'III. INPUT-Baseline'!$B$44</f>
        <v>-</v>
      </c>
      <c r="C53" s="594" t="e">
        <f>$C$31</f>
        <v>#N/A</v>
      </c>
      <c r="D53" s="151">
        <f>MIN(0.95, MAX(0.104,EXP(15175*(('III. INPUT-Baseline'!$C$44+273)-303.16)/(1.987*('III. INPUT-Baseline'!$C$44+273)*303.16))))</f>
        <v>0.104</v>
      </c>
      <c r="E53" s="366">
        <f t="shared" si="5"/>
        <v>0</v>
      </c>
      <c r="F53" s="158" t="e">
        <f>(E53*'III. INPUT-Baseline'!C82*'III. INPUT-Baseline'!$C$166*C53*0.8)+G53</f>
        <v>#N/A</v>
      </c>
      <c r="G53" s="593">
        <f>IF('III. INPUT-Baseline'!$I44=TRUE,0,IF('III. INPUT-Baseline'!$E$143=B52,0,IF('III. INPUT-Baseline'!$F$143=B52,0,IF('III. INPUT-Baseline'!$G$143=B52,0,IF('III. INPUT-Baseline'!$C$143="Yes",0,(F52-H52))))))</f>
        <v>0</v>
      </c>
      <c r="H53" s="158" t="e">
        <f t="shared" si="7"/>
        <v>#N/A</v>
      </c>
      <c r="I53" s="151">
        <f>IF('III. INPUT-Baseline'!D44=0,0,(H53*'III. INPUT-Baseline'!$C$111*0.68*0.001)*(('III. INPUT-Baseline'!G44-'III. INPUT-Baseline'!H44)/'III. INPUT-Baseline'!E44))</f>
        <v>0</v>
      </c>
      <c r="J53" s="158">
        <f t="shared" si="6"/>
        <v>0</v>
      </c>
      <c r="K53" s="4"/>
      <c r="L53" s="4"/>
      <c r="M53" s="4"/>
      <c r="O53" s="4"/>
      <c r="P53" s="34"/>
      <c r="Q53" s="34"/>
      <c r="R53" s="34"/>
    </row>
    <row r="54" spans="1:94" x14ac:dyDescent="0.25">
      <c r="B54" s="556" t="str">
        <f>'III. INPUT-Baseline'!$B$45</f>
        <v>-</v>
      </c>
      <c r="C54" s="594" t="e">
        <f>$C$32</f>
        <v>#N/A</v>
      </c>
      <c r="D54" s="151">
        <f>MIN(0.95, MAX(0.104,EXP(15175*(('III. INPUT-Baseline'!$C$45+273)-303.16)/(1.987*('III. INPUT-Baseline'!$C$45+273)*303.16))))</f>
        <v>0.104</v>
      </c>
      <c r="E54" s="366">
        <f t="shared" si="5"/>
        <v>0</v>
      </c>
      <c r="F54" s="158" t="e">
        <f>(E54*'III. INPUT-Baseline'!C83*'III. INPUT-Baseline'!$C$166*C54*0.8)+G54</f>
        <v>#N/A</v>
      </c>
      <c r="G54" s="593">
        <f>IF('III. INPUT-Baseline'!$I45=TRUE,0,IF('III. INPUT-Baseline'!$E$143=B53,0,IF('III. INPUT-Baseline'!$F$143=B53,0,IF('III. INPUT-Baseline'!$G$143=B53,0,IF('III. INPUT-Baseline'!$C$143="Yes",0,(F53-H53))))))</f>
        <v>0</v>
      </c>
      <c r="H54" s="158" t="e">
        <f t="shared" si="7"/>
        <v>#N/A</v>
      </c>
      <c r="I54" s="151">
        <f>IF('III. INPUT-Baseline'!D45=0,0,(H54*'III. INPUT-Baseline'!$C$111*0.68*0.001)*(('III. INPUT-Baseline'!G45-'III. INPUT-Baseline'!H45)/'III. INPUT-Baseline'!E45))</f>
        <v>0</v>
      </c>
      <c r="J54" s="158">
        <f t="shared" si="6"/>
        <v>0</v>
      </c>
      <c r="K54" s="34"/>
      <c r="L54" s="34"/>
      <c r="M54" s="34"/>
    </row>
    <row r="55" spans="1:94" x14ac:dyDescent="0.25">
      <c r="B55" s="556" t="str">
        <f>'III. INPUT-Baseline'!$B$46</f>
        <v>-</v>
      </c>
      <c r="C55" s="594" t="e">
        <f>$C$33</f>
        <v>#N/A</v>
      </c>
      <c r="D55" s="151">
        <f>MIN(0.95, MAX(0.104,EXP(15175*(('III. INPUT-Baseline'!$C$46+273)-303.16)/(1.987*('III. INPUT-Baseline'!$C$46+273)*303.16))))</f>
        <v>0.104</v>
      </c>
      <c r="E55" s="366">
        <f t="shared" si="5"/>
        <v>0</v>
      </c>
      <c r="F55" s="158" t="e">
        <f>(E55*'III. INPUT-Baseline'!C84*'III. INPUT-Baseline'!$C$166*C55*0.8)+G55</f>
        <v>#N/A</v>
      </c>
      <c r="G55" s="593">
        <f>IF('III. INPUT-Baseline'!$I46=TRUE,0,IF('III. INPUT-Baseline'!$E$143=B54,0,IF('III. INPUT-Baseline'!$F$143=B54,0,IF('III. INPUT-Baseline'!$G$143=B54,0,IF('III. INPUT-Baseline'!$C$143="Yes",0,(F54-H54))))))</f>
        <v>0</v>
      </c>
      <c r="H55" s="158" t="e">
        <f t="shared" si="7"/>
        <v>#N/A</v>
      </c>
      <c r="I55" s="151">
        <f>IF('III. INPUT-Baseline'!D46=0,0,(H55*'III. INPUT-Baseline'!$C$111*0.68*0.001)*(('III. INPUT-Baseline'!G46-'III. INPUT-Baseline'!H46)/'III. INPUT-Baseline'!E46))</f>
        <v>0</v>
      </c>
      <c r="J55" s="158">
        <f t="shared" si="6"/>
        <v>0</v>
      </c>
      <c r="K55" s="94"/>
      <c r="L55" s="94"/>
    </row>
    <row r="56" spans="1:94" x14ac:dyDescent="0.25">
      <c r="B56" s="609" t="str">
        <f>'III. INPUT-Baseline'!$B$47</f>
        <v>-</v>
      </c>
      <c r="C56" s="594" t="e">
        <f>$C$34</f>
        <v>#N/A</v>
      </c>
      <c r="D56" s="151">
        <f>MIN(0.95, MAX(0.104,EXP(15175*(('III. INPUT-Baseline'!$C$47+273)-303.16)/(1.987*('III. INPUT-Baseline'!$C$47+273)*303.16))))</f>
        <v>0.104</v>
      </c>
      <c r="E56" s="366">
        <f t="shared" si="5"/>
        <v>0</v>
      </c>
      <c r="F56" s="158" t="e">
        <f>(E56*'III. INPUT-Baseline'!C85*'III. INPUT-Baseline'!$C$166*C56*0.8)+G56</f>
        <v>#N/A</v>
      </c>
      <c r="G56" s="593">
        <f>IF('III. INPUT-Baseline'!$I47=TRUE,0,IF('III. INPUT-Baseline'!$E$143=B55,0,IF('III. INPUT-Baseline'!$F$143=B55,0,IF('III. INPUT-Baseline'!$G$143=B55,0,IF('III. INPUT-Baseline'!$C$143="Yes",0,(F55-H55))))))</f>
        <v>0</v>
      </c>
      <c r="H56" s="618" t="e">
        <f t="shared" ref="H56" si="8">F56*D56</f>
        <v>#N/A</v>
      </c>
      <c r="I56" s="151">
        <f>IF('III. INPUT-Baseline'!D47=0,0,(H56*'III. INPUT-Baseline'!$C$111*0.68*0.001)*(('III. INPUT-Baseline'!G47-'III. INPUT-Baseline'!H47)/'III. INPUT-Baseline'!E47))</f>
        <v>0</v>
      </c>
      <c r="J56" s="618">
        <f t="shared" ref="J56" si="9">I56*gwp_ch4</f>
        <v>0</v>
      </c>
      <c r="K56" s="94"/>
      <c r="L56" s="94"/>
    </row>
    <row r="57" spans="1:94" ht="13" x14ac:dyDescent="0.3">
      <c r="B57" s="596" t="s">
        <v>432</v>
      </c>
      <c r="C57" s="604"/>
      <c r="D57" s="601"/>
      <c r="E57" s="601"/>
      <c r="F57" s="602"/>
      <c r="G57" s="603"/>
      <c r="H57" s="619" t="e">
        <f>SUM(H44:H56)</f>
        <v>#N/A</v>
      </c>
      <c r="I57" s="619">
        <f>SUM(I44:I56)</f>
        <v>0</v>
      </c>
      <c r="J57" s="619">
        <f>SUM(J44:J56)</f>
        <v>0</v>
      </c>
    </row>
    <row r="58" spans="1:94" ht="13" x14ac:dyDescent="0.3">
      <c r="B58" s="3"/>
      <c r="C58" s="3"/>
      <c r="D58" s="60"/>
      <c r="E58" s="60"/>
      <c r="F58" s="61"/>
      <c r="G58" s="61"/>
      <c r="H58" s="61"/>
      <c r="I58" s="61"/>
      <c r="J58" s="61"/>
    </row>
    <row r="59" spans="1:94" s="64" customFormat="1" ht="13" x14ac:dyDescent="0.3">
      <c r="A59" s="11"/>
      <c r="B59" s="4"/>
      <c r="C59" s="4"/>
      <c r="D59" s="134"/>
      <c r="E59" s="656" t="s">
        <v>433</v>
      </c>
      <c r="F59" s="675"/>
      <c r="G59" s="675"/>
      <c r="H59" s="675"/>
      <c r="I59" s="675"/>
      <c r="J59" s="676"/>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row>
    <row r="60" spans="1:94" s="64" customFormat="1" ht="13" x14ac:dyDescent="0.3">
      <c r="A60" s="11"/>
      <c r="B60" s="3"/>
      <c r="C60" s="49"/>
      <c r="D60" s="39"/>
      <c r="E60" s="677"/>
      <c r="F60" s="678"/>
      <c r="G60" s="678"/>
      <c r="H60" s="678"/>
      <c r="I60" s="678"/>
      <c r="J60" s="679"/>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c r="BY60" s="11"/>
      <c r="BZ60" s="11"/>
      <c r="CA60" s="11"/>
      <c r="CB60" s="11"/>
      <c r="CC60" s="11"/>
      <c r="CD60" s="11"/>
      <c r="CE60" s="11"/>
      <c r="CF60" s="11"/>
      <c r="CG60" s="11"/>
      <c r="CH60" s="11"/>
      <c r="CI60" s="11"/>
      <c r="CJ60" s="11"/>
      <c r="CK60" s="11"/>
      <c r="CL60" s="11"/>
      <c r="CM60" s="11"/>
      <c r="CN60" s="11"/>
      <c r="CO60" s="11"/>
      <c r="CP60" s="11"/>
    </row>
    <row r="61" spans="1:94" s="64" customFormat="1" ht="13" x14ac:dyDescent="0.3">
      <c r="A61" s="11"/>
      <c r="B61" s="3"/>
      <c r="C61" s="49"/>
      <c r="D61" s="39"/>
      <c r="E61" s="680"/>
      <c r="F61" s="681"/>
      <c r="G61" s="681"/>
      <c r="H61" s="681"/>
      <c r="I61" s="681"/>
      <c r="J61" s="682"/>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c r="BY61" s="11"/>
      <c r="BZ61" s="11"/>
      <c r="CA61" s="11"/>
      <c r="CB61" s="11"/>
      <c r="CC61" s="11"/>
      <c r="CD61" s="11"/>
      <c r="CE61" s="11"/>
      <c r="CF61" s="11"/>
      <c r="CG61" s="11"/>
      <c r="CH61" s="11"/>
      <c r="CI61" s="11"/>
      <c r="CJ61" s="11"/>
      <c r="CK61" s="11"/>
      <c r="CL61" s="11"/>
      <c r="CM61" s="11"/>
      <c r="CN61" s="11"/>
      <c r="CO61" s="11"/>
      <c r="CP61" s="11"/>
    </row>
    <row r="62" spans="1:94" ht="26" x14ac:dyDescent="0.3">
      <c r="B62" s="585">
        <f>'III. INPUT-Baseline'!$B$55</f>
        <v>0</v>
      </c>
      <c r="C62" s="585" t="str">
        <f>'III. INPUT-Baseline'!B125</f>
        <v>Uncovered anaerobic lagoon</v>
      </c>
      <c r="D62" s="149"/>
      <c r="E62" s="60"/>
      <c r="F62" s="60"/>
      <c r="G62" s="60"/>
      <c r="H62" s="60"/>
      <c r="I62" s="60"/>
      <c r="J62" s="60"/>
    </row>
    <row r="63" spans="1:94" ht="15" x14ac:dyDescent="0.4">
      <c r="B63" s="546" t="s">
        <v>423</v>
      </c>
      <c r="C63" s="586">
        <f>'III. INPUT-Baseline'!D98</f>
        <v>0</v>
      </c>
      <c r="E63" s="61"/>
      <c r="F63" s="60"/>
      <c r="G63" s="60"/>
      <c r="H63" s="60"/>
      <c r="I63" s="60"/>
      <c r="J63" s="60"/>
    </row>
    <row r="64" spans="1:94" ht="13" x14ac:dyDescent="0.3">
      <c r="B64" s="596"/>
      <c r="C64" s="600"/>
      <c r="E64" s="61"/>
      <c r="F64" s="60"/>
      <c r="G64" s="60"/>
      <c r="H64" s="60"/>
      <c r="I64" s="60"/>
      <c r="J64" s="60"/>
    </row>
    <row r="65" spans="2:17" ht="29" x14ac:dyDescent="0.4">
      <c r="B65" s="136" t="s">
        <v>246</v>
      </c>
      <c r="C65" s="136" t="s">
        <v>424</v>
      </c>
      <c r="D65" s="589" t="s">
        <v>425</v>
      </c>
      <c r="E65" s="590" t="s">
        <v>426</v>
      </c>
      <c r="F65" s="591" t="s">
        <v>427</v>
      </c>
      <c r="G65" s="590" t="s">
        <v>428</v>
      </c>
      <c r="H65" s="591" t="s">
        <v>429</v>
      </c>
      <c r="I65" s="591" t="s">
        <v>430</v>
      </c>
      <c r="J65" s="591" t="s">
        <v>431</v>
      </c>
    </row>
    <row r="66" spans="2:17" s="49" customFormat="1" x14ac:dyDescent="0.25">
      <c r="B66" s="556" t="str">
        <f>'III. INPUT-Baseline'!$B$35</f>
        <v>-</v>
      </c>
      <c r="C66" s="594" t="e">
        <f>$C$22</f>
        <v>#N/A</v>
      </c>
      <c r="D66" s="151">
        <f>MIN(0.95, MAX(0.104,EXP(15175*(('III. INPUT-Baseline'!$C$35+273)-303.16)/(1.987*('III. INPUT-Baseline'!$C$35+273)*303.16))))</f>
        <v>0.104</v>
      </c>
      <c r="E66" s="366">
        <f t="shared" ref="E66:E76" si="10">$C$63</f>
        <v>0</v>
      </c>
      <c r="F66" s="158" t="e">
        <f>(E66*'III. INPUT-Baseline'!D73*'III. INPUT-Baseline'!$D$165*C66*0.8)+G66</f>
        <v>#N/A</v>
      </c>
      <c r="G66" s="592">
        <v>0</v>
      </c>
      <c r="H66" s="158" t="e">
        <f>F66*D66</f>
        <v>#N/A</v>
      </c>
      <c r="I66" s="618">
        <f>IF('III. INPUT-Baseline'!D35=0,0,(H66*'III. INPUT-Baseline'!$C$112*0.68*0.001)*(('III. INPUT-Baseline'!G35-'III. INPUT-Baseline'!H35)/'III. INPUT-Baseline'!E35))</f>
        <v>0</v>
      </c>
      <c r="J66" s="158">
        <f t="shared" ref="J66:J77" si="11">I66*gwp_ch4</f>
        <v>0</v>
      </c>
      <c r="K66" s="94"/>
      <c r="L66" s="94"/>
      <c r="M66" s="94"/>
      <c r="N66" s="94"/>
      <c r="O66" s="94"/>
      <c r="P66" s="94"/>
      <c r="Q66" s="94"/>
    </row>
    <row r="67" spans="2:17" ht="13" x14ac:dyDescent="0.3">
      <c r="B67" s="556" t="str">
        <f>'III. INPUT-Baseline'!$B$36</f>
        <v>-</v>
      </c>
      <c r="C67" s="594" t="e">
        <f>$C$23</f>
        <v>#N/A</v>
      </c>
      <c r="D67" s="151">
        <f>MIN(0.95, MAX(0.104,EXP(15175*(('III. INPUT-Baseline'!$C$36+273)-303.16)/(1.987*('III. INPUT-Baseline'!$C$36+273)*303.16))))</f>
        <v>0.104</v>
      </c>
      <c r="E67" s="366">
        <f t="shared" si="10"/>
        <v>0</v>
      </c>
      <c r="F67" s="158" t="e">
        <f>(E67*'III. INPUT-Baseline'!D74*'III. INPUT-Baseline'!$D$165*C67*0.8)+G67</f>
        <v>#N/A</v>
      </c>
      <c r="G67" s="593" t="e">
        <f>IF('III. INPUT-Baseline'!$I$36=TRUE,0,IF('III. INPUT-Baseline'!$E$142=B66,0,IF('III. INPUT-Baseline'!$F$142=B66,0,IF('III. INPUT-Baseline'!$G$142=B66,0,IF('III. INPUT-Baseline'!$C$142="Yes",0,(F66-H66))))))</f>
        <v>#N/A</v>
      </c>
      <c r="H67" s="158" t="e">
        <f t="shared" ref="H67:H77" si="12">F67*D67</f>
        <v>#N/A</v>
      </c>
      <c r="I67" s="618">
        <f>IF('III. INPUT-Baseline'!D36=0,0,(H67*'III. INPUT-Baseline'!$C$112*0.68*0.001)*(('III. INPUT-Baseline'!G36-'III. INPUT-Baseline'!H36)/'III. INPUT-Baseline'!E36))</f>
        <v>0</v>
      </c>
      <c r="J67" s="158">
        <f t="shared" si="11"/>
        <v>0</v>
      </c>
      <c r="K67" s="4"/>
      <c r="L67" s="4"/>
      <c r="M67" s="4"/>
      <c r="O67" s="49"/>
    </row>
    <row r="68" spans="2:17" ht="13" x14ac:dyDescent="0.3">
      <c r="B68" s="556" t="str">
        <f>'III. INPUT-Baseline'!$B$37</f>
        <v>-</v>
      </c>
      <c r="C68" s="594" t="e">
        <f>$C$24</f>
        <v>#N/A</v>
      </c>
      <c r="D68" s="151">
        <f>MIN(0.95, MAX(0.104,EXP(15175*(('III. INPUT-Baseline'!$C$37+273)-303.16)/(1.987*('III. INPUT-Baseline'!$C$37+273)*303.16))))</f>
        <v>0.104</v>
      </c>
      <c r="E68" s="366">
        <f t="shared" si="10"/>
        <v>0</v>
      </c>
      <c r="F68" s="158" t="e">
        <f>(E68*'III. INPUT-Baseline'!D75*'III. INPUT-Baseline'!$D$165*C68*0.8)+G68</f>
        <v>#N/A</v>
      </c>
      <c r="G68" s="593" t="e">
        <f>IF('III. INPUT-Baseline'!$I$37=TRUE,0,IF('III. INPUT-Baseline'!$E$142=B67,0,IF('III. INPUT-Baseline'!$F$142=B67,0,IF('III. INPUT-Baseline'!$G$142=B67,0,IF('III. INPUT-Baseline'!$C$142="Yes",0,(F67-H67))))))</f>
        <v>#N/A</v>
      </c>
      <c r="H68" s="158" t="e">
        <f t="shared" si="12"/>
        <v>#N/A</v>
      </c>
      <c r="I68" s="618">
        <f>IF('III. INPUT-Baseline'!D37=0,0,(H68*'III. INPUT-Baseline'!$C$112*0.68*0.001)*(('III. INPUT-Baseline'!G37-'III. INPUT-Baseline'!H37)/'III. INPUT-Baseline'!E37))</f>
        <v>0</v>
      </c>
      <c r="J68" s="158">
        <f t="shared" si="11"/>
        <v>0</v>
      </c>
      <c r="K68" s="4"/>
      <c r="L68" s="4"/>
      <c r="M68" s="4"/>
      <c r="O68" s="49"/>
    </row>
    <row r="69" spans="2:17" x14ac:dyDescent="0.25">
      <c r="B69" s="556" t="str">
        <f>'III. INPUT-Baseline'!$B$38</f>
        <v>-</v>
      </c>
      <c r="C69" s="594" t="e">
        <f>$C$25</f>
        <v>#N/A</v>
      </c>
      <c r="D69" s="151">
        <f>MIN(0.95, MAX(0.104,EXP(15175*(('III. INPUT-Baseline'!$C$38+273)-303.16)/(1.987*('III. INPUT-Baseline'!$C$38+273)*303.16))))</f>
        <v>0.104</v>
      </c>
      <c r="E69" s="366">
        <f t="shared" si="10"/>
        <v>0</v>
      </c>
      <c r="F69" s="158" t="e">
        <f>(E69*'III. INPUT-Baseline'!D76*'III. INPUT-Baseline'!$D$165*C69*0.8)+G69</f>
        <v>#N/A</v>
      </c>
      <c r="G69" s="593" t="e">
        <f>IF('III. INPUT-Baseline'!$I$38=TRUE,0,IF('III. INPUT-Baseline'!$E$142=B68,0,IF('III. INPUT-Baseline'!$F$142=B68,0,IF('III. INPUT-Baseline'!$G$142=B68,0,IF('III. INPUT-Baseline'!$C$142="Yes",0,(F68-H68))))))</f>
        <v>#N/A</v>
      </c>
      <c r="H69" s="158" t="e">
        <f t="shared" si="12"/>
        <v>#N/A</v>
      </c>
      <c r="I69" s="618">
        <f>IF('III. INPUT-Baseline'!D38=0,0,(H69*'III. INPUT-Baseline'!$C$112*0.68*0.001)*(('III. INPUT-Baseline'!G38-'III. INPUT-Baseline'!H38)/'III. INPUT-Baseline'!E38))</f>
        <v>0</v>
      </c>
      <c r="J69" s="158">
        <f t="shared" si="11"/>
        <v>0</v>
      </c>
      <c r="K69" s="34"/>
      <c r="L69" s="34"/>
      <c r="M69" s="34"/>
    </row>
    <row r="70" spans="2:17" x14ac:dyDescent="0.25">
      <c r="B70" s="556" t="str">
        <f>'III. INPUT-Baseline'!$B$39</f>
        <v>-</v>
      </c>
      <c r="C70" s="594" t="e">
        <f>$C$26</f>
        <v>#N/A</v>
      </c>
      <c r="D70" s="151">
        <f>MIN(0.95, MAX(0.104,EXP(15175*(('III. INPUT-Baseline'!$C$39+273)-303.16)/(1.987*('III. INPUT-Baseline'!$C$39+273)*303.16))))</f>
        <v>0.104</v>
      </c>
      <c r="E70" s="366">
        <f t="shared" si="10"/>
        <v>0</v>
      </c>
      <c r="F70" s="158" t="e">
        <f>(E70*'III. INPUT-Baseline'!D77*'III. INPUT-Baseline'!$D$165*C70*0.8)+G70</f>
        <v>#N/A</v>
      </c>
      <c r="G70" s="593" t="e">
        <f>IF('III. INPUT-Baseline'!$I$39=TRUE,0,IF('III. INPUT-Baseline'!$E$142=B69,0,IF('III. INPUT-Baseline'!$F$142=B69,0,IF('III. INPUT-Baseline'!$G$142=B69,0,IF('III. INPUT-Baseline'!$C$142="Yes",0,(F69-H69))))))</f>
        <v>#N/A</v>
      </c>
      <c r="H70" s="158" t="e">
        <f t="shared" si="12"/>
        <v>#N/A</v>
      </c>
      <c r="I70" s="618">
        <f>IF('III. INPUT-Baseline'!D39=0,0,(H70*'III. INPUT-Baseline'!$C$112*0.68*0.001)*(('III. INPUT-Baseline'!G39-'III. INPUT-Baseline'!H39)/'III. INPUT-Baseline'!E39))</f>
        <v>0</v>
      </c>
      <c r="J70" s="158">
        <f t="shared" si="11"/>
        <v>0</v>
      </c>
      <c r="K70" s="94"/>
      <c r="L70" s="94"/>
      <c r="O70" s="49"/>
      <c r="P70" s="25"/>
    </row>
    <row r="71" spans="2:17" ht="13" x14ac:dyDescent="0.3">
      <c r="B71" s="556" t="str">
        <f>'III. INPUT-Baseline'!$B$40</f>
        <v>-</v>
      </c>
      <c r="C71" s="594" t="e">
        <f>$C$27</f>
        <v>#N/A</v>
      </c>
      <c r="D71" s="151">
        <f>MIN(0.95, MAX(0.104,EXP(15175*(('III. INPUT-Baseline'!$C$40+273)-303.16)/(1.987*('III. INPUT-Baseline'!$C$40+273)*303.16))))</f>
        <v>0.104</v>
      </c>
      <c r="E71" s="366">
        <f t="shared" si="10"/>
        <v>0</v>
      </c>
      <c r="F71" s="158" t="e">
        <f>(E71*'III. INPUT-Baseline'!D78*'III. INPUT-Baseline'!$D$165*C71*0.8)+G71</f>
        <v>#N/A</v>
      </c>
      <c r="G71" s="593" t="e">
        <f>IF('III. INPUT-Baseline'!$I$40=TRUE,0,IF('III. INPUT-Baseline'!$E$142=B70,0,IF('III. INPUT-Baseline'!$F$142=B70,0,IF('III. INPUT-Baseline'!$G$142=B70,0,IF('III. INPUT-Baseline'!$C$142="Yes",0,(F70-H70))))))</f>
        <v>#N/A</v>
      </c>
      <c r="H71" s="158" t="e">
        <f t="shared" si="12"/>
        <v>#N/A</v>
      </c>
      <c r="I71" s="618">
        <f>IF('III. INPUT-Baseline'!D40=0,0,(H71*'III. INPUT-Baseline'!$C$112*0.68*0.001)*(('III. INPUT-Baseline'!G40-'III. INPUT-Baseline'!H40)/'III. INPUT-Baseline'!E40))</f>
        <v>0</v>
      </c>
      <c r="J71" s="158">
        <f t="shared" si="11"/>
        <v>0</v>
      </c>
      <c r="N71" s="3"/>
      <c r="O71" s="49"/>
    </row>
    <row r="72" spans="2:17" x14ac:dyDescent="0.25">
      <c r="B72" s="556" t="str">
        <f>'III. INPUT-Baseline'!$B$41</f>
        <v>-</v>
      </c>
      <c r="C72" s="594" t="e">
        <f>$C$28</f>
        <v>#N/A</v>
      </c>
      <c r="D72" s="151">
        <f>MIN(0.95, MAX(0.104,EXP(15175*(('III. INPUT-Baseline'!$C$41+273)-303.16)/(1.987*('III. INPUT-Baseline'!$C$41+273)*303.16))))</f>
        <v>0.104</v>
      </c>
      <c r="E72" s="366">
        <f t="shared" si="10"/>
        <v>0</v>
      </c>
      <c r="F72" s="158" t="e">
        <f>(E72*'III. INPUT-Baseline'!D79*'III. INPUT-Baseline'!$D$165*C72*0.8)+G72</f>
        <v>#N/A</v>
      </c>
      <c r="G72" s="593" t="e">
        <f>IF('III. INPUT-Baseline'!$I$41=TRUE,0,IF('III. INPUT-Baseline'!$E$142=B71,0,IF('III. INPUT-Baseline'!$F$142=B71,0,IF('III. INPUT-Baseline'!$G$142=B71,0,IF('III. INPUT-Baseline'!$C$142="Yes",0,(F71-H71))))))</f>
        <v>#N/A</v>
      </c>
      <c r="H72" s="158" t="e">
        <f t="shared" si="12"/>
        <v>#N/A</v>
      </c>
      <c r="I72" s="618">
        <f>IF('III. INPUT-Baseline'!D41=0,0,(H72*'III. INPUT-Baseline'!$C$112*0.68*0.001)*(('III. INPUT-Baseline'!G41-'III. INPUT-Baseline'!H41)/'III. INPUT-Baseline'!E41))</f>
        <v>0</v>
      </c>
      <c r="J72" s="158">
        <f t="shared" si="11"/>
        <v>0</v>
      </c>
    </row>
    <row r="73" spans="2:17" x14ac:dyDescent="0.25">
      <c r="B73" s="556" t="str">
        <f>'III. INPUT-Baseline'!$B$42</f>
        <v>-</v>
      </c>
      <c r="C73" s="594" t="e">
        <f>$C$29</f>
        <v>#N/A</v>
      </c>
      <c r="D73" s="151">
        <f>MIN(0.95, MAX(0.104,EXP(15175*(('III. INPUT-Baseline'!$C$42+273)-303.16)/(1.987*('III. INPUT-Baseline'!$C$42+273)*303.16))))</f>
        <v>0.104</v>
      </c>
      <c r="E73" s="366">
        <f t="shared" si="10"/>
        <v>0</v>
      </c>
      <c r="F73" s="158" t="e">
        <f>(E73*'III. INPUT-Baseline'!D80*'III. INPUT-Baseline'!$D$165*C73*0.8)+G73</f>
        <v>#N/A</v>
      </c>
      <c r="G73" s="593" t="e">
        <f>IF('III. INPUT-Baseline'!$I$42=TRUE,0,IF('III. INPUT-Baseline'!$E$142=B72,0,IF('III. INPUT-Baseline'!$F$142=B72,0,IF('III. INPUT-Baseline'!$G$142=B72,0,IF('III. INPUT-Baseline'!$C$142="Yes",0,(F72-H72))))))</f>
        <v>#N/A</v>
      </c>
      <c r="H73" s="158" t="e">
        <f t="shared" si="12"/>
        <v>#N/A</v>
      </c>
      <c r="I73" s="618">
        <f>IF('III. INPUT-Baseline'!D42=0,0,(H73*'III. INPUT-Baseline'!$C$112*0.68*0.001)*(('III. INPUT-Baseline'!G42-'III. INPUT-Baseline'!H42)/'III. INPUT-Baseline'!E42))</f>
        <v>0</v>
      </c>
      <c r="J73" s="158">
        <f t="shared" si="11"/>
        <v>0</v>
      </c>
    </row>
    <row r="74" spans="2:17" x14ac:dyDescent="0.25">
      <c r="B74" s="556" t="str">
        <f>'III. INPUT-Baseline'!$B$43</f>
        <v>-</v>
      </c>
      <c r="C74" s="594" t="e">
        <f>$C$30</f>
        <v>#N/A</v>
      </c>
      <c r="D74" s="151">
        <f>MIN(0.95, MAX(0.104,EXP(15175*(('III. INPUT-Baseline'!$C$43+273)-303.16)/(1.987*('III. INPUT-Baseline'!$C$43+273)*303.16))))</f>
        <v>0.104</v>
      </c>
      <c r="E74" s="366">
        <f t="shared" si="10"/>
        <v>0</v>
      </c>
      <c r="F74" s="158" t="e">
        <f>(E74*'III. INPUT-Baseline'!D81*'III. INPUT-Baseline'!$D$165*C74*0.8)+G74</f>
        <v>#N/A</v>
      </c>
      <c r="G74" s="593" t="e">
        <f>IF('III. INPUT-Baseline'!$I$43=TRUE,0,IF('III. INPUT-Baseline'!$E$142=B73,0,IF('III. INPUT-Baseline'!$F$142=B73,0,IF('III. INPUT-Baseline'!$G$142=B73,0,IF('III. INPUT-Baseline'!$C$142="Yes",0,(F73-H73))))))</f>
        <v>#N/A</v>
      </c>
      <c r="H74" s="158" t="e">
        <f t="shared" si="12"/>
        <v>#N/A</v>
      </c>
      <c r="I74" s="618">
        <f>IF('III. INPUT-Baseline'!D43=0,0,(H74*'III. INPUT-Baseline'!$C$112*0.68*0.001)*(('III. INPUT-Baseline'!G43-'III. INPUT-Baseline'!H43)/'III. INPUT-Baseline'!E43))</f>
        <v>0</v>
      </c>
      <c r="J74" s="158">
        <f t="shared" si="11"/>
        <v>0</v>
      </c>
    </row>
    <row r="75" spans="2:17" x14ac:dyDescent="0.25">
      <c r="B75" s="556" t="str">
        <f>'III. INPUT-Baseline'!$B$44</f>
        <v>-</v>
      </c>
      <c r="C75" s="594" t="e">
        <f>$C$31</f>
        <v>#N/A</v>
      </c>
      <c r="D75" s="151">
        <f>MIN(0.95, MAX(0.104,EXP(15175*(('III. INPUT-Baseline'!$C$44+273)-303.16)/(1.987*('III. INPUT-Baseline'!$C$44+273)*303.16))))</f>
        <v>0.104</v>
      </c>
      <c r="E75" s="366">
        <f t="shared" si="10"/>
        <v>0</v>
      </c>
      <c r="F75" s="158" t="e">
        <f>(E75*'III. INPUT-Baseline'!D82*'III. INPUT-Baseline'!$D$165*C75*0.8)+G75</f>
        <v>#N/A</v>
      </c>
      <c r="G75" s="593" t="e">
        <f>IF('III. INPUT-Baseline'!$I$44=TRUE,0,IF('III. INPUT-Baseline'!$E$142=B74,0,IF('III. INPUT-Baseline'!$F$142=B74,0,IF('III. INPUT-Baseline'!$G$142=B74,0,IF('III. INPUT-Baseline'!$C$142="Yes",0,(F74-H74))))))</f>
        <v>#N/A</v>
      </c>
      <c r="H75" s="158" t="e">
        <f t="shared" si="12"/>
        <v>#N/A</v>
      </c>
      <c r="I75" s="618">
        <f>IF('III. INPUT-Baseline'!D44=0,0,(H75*'III. INPUT-Baseline'!$C$112*0.68*0.001)*(('III. INPUT-Baseline'!G44-'III. INPUT-Baseline'!H44)/'III. INPUT-Baseline'!E44))</f>
        <v>0</v>
      </c>
      <c r="J75" s="158">
        <f t="shared" si="11"/>
        <v>0</v>
      </c>
    </row>
    <row r="76" spans="2:17" x14ac:dyDescent="0.25">
      <c r="B76" s="556" t="str">
        <f>'III. INPUT-Baseline'!$B$45</f>
        <v>-</v>
      </c>
      <c r="C76" s="594" t="e">
        <f>$C$32</f>
        <v>#N/A</v>
      </c>
      <c r="D76" s="151">
        <f>MIN(0.95, MAX(0.104,EXP(15175*(('III. INPUT-Baseline'!$C$45+273)-303.16)/(1.987*('III. INPUT-Baseline'!$C$45+273)*303.16))))</f>
        <v>0.104</v>
      </c>
      <c r="E76" s="366">
        <f t="shared" si="10"/>
        <v>0</v>
      </c>
      <c r="F76" s="158" t="e">
        <f>(E76*'III. INPUT-Baseline'!D83*'III. INPUT-Baseline'!$D$165*C76*0.8)+G76</f>
        <v>#N/A</v>
      </c>
      <c r="G76" s="593" t="e">
        <f>IF('III. INPUT-Baseline'!$I$45=TRUE,0,IF('III. INPUT-Baseline'!$E$142=B75,0,IF('III. INPUT-Baseline'!$F$142=B75,0,IF('III. INPUT-Baseline'!$G$142=B75,0,IF('III. INPUT-Baseline'!$C$142="Yes",0,(F75-H75))))))</f>
        <v>#N/A</v>
      </c>
      <c r="H76" s="158" t="e">
        <f t="shared" si="12"/>
        <v>#N/A</v>
      </c>
      <c r="I76" s="618">
        <f>IF('III. INPUT-Baseline'!D45=0,0,(H76*'III. INPUT-Baseline'!$C$112*0.68*0.001)*(('III. INPUT-Baseline'!G45-'III. INPUT-Baseline'!H45)/'III. INPUT-Baseline'!E45))</f>
        <v>0</v>
      </c>
      <c r="J76" s="158">
        <f t="shared" si="11"/>
        <v>0</v>
      </c>
    </row>
    <row r="77" spans="2:17" x14ac:dyDescent="0.25">
      <c r="B77" s="556" t="str">
        <f>'III. INPUT-Baseline'!$B$46</f>
        <v>-</v>
      </c>
      <c r="C77" s="594" t="e">
        <f>$C$33</f>
        <v>#N/A</v>
      </c>
      <c r="D77" s="151">
        <f>MIN(0.95, MAX(0.104,EXP(15175*(('III. INPUT-Baseline'!$C$46+273)-303.16)/(1.987*('III. INPUT-Baseline'!$C$46+273)*303.16))))</f>
        <v>0.104</v>
      </c>
      <c r="E77" s="366">
        <f>$C$63</f>
        <v>0</v>
      </c>
      <c r="F77" s="158" t="e">
        <f>(E77*'III. INPUT-Baseline'!D84*'III. INPUT-Baseline'!$D$165*C77*0.8)+G77</f>
        <v>#N/A</v>
      </c>
      <c r="G77" s="593" t="e">
        <f>IF('III. INPUT-Baseline'!$I$46=TRUE,0,IF('III. INPUT-Baseline'!$E$142=B76,0,IF('III. INPUT-Baseline'!$F$142=B76,0,IF('III. INPUT-Baseline'!$G$142=B76,0,IF('III. INPUT-Baseline'!$C$142="Yes",0,(F76-H76))))))</f>
        <v>#N/A</v>
      </c>
      <c r="H77" s="158" t="e">
        <f t="shared" si="12"/>
        <v>#N/A</v>
      </c>
      <c r="I77" s="618">
        <f>IF('III. INPUT-Baseline'!D46=0,0,(H77*'III. INPUT-Baseline'!$C$112*0.68*0.001)*(('III. INPUT-Baseline'!G46-'III. INPUT-Baseline'!H46)/'III. INPUT-Baseline'!E46))</f>
        <v>0</v>
      </c>
      <c r="J77" s="158">
        <f t="shared" si="11"/>
        <v>0</v>
      </c>
    </row>
    <row r="78" spans="2:17" x14ac:dyDescent="0.25">
      <c r="B78" s="556" t="str">
        <f>'III. INPUT-Baseline'!$B$47</f>
        <v>-</v>
      </c>
      <c r="C78" s="594" t="e">
        <f>$C$34</f>
        <v>#N/A</v>
      </c>
      <c r="D78" s="151">
        <f>MIN(0.95, MAX(0.104,EXP(15175*(('III. INPUT-Baseline'!$C$47+273)-303.16)/(1.987*('III. INPUT-Baseline'!$C$47+273)*303.16))))</f>
        <v>0.104</v>
      </c>
      <c r="E78" s="366">
        <f>$C$63</f>
        <v>0</v>
      </c>
      <c r="F78" s="158" t="e">
        <f>(E78*'III. INPUT-Baseline'!D85*'III. INPUT-Baseline'!$D$165*C78*0.8)+G78</f>
        <v>#N/A</v>
      </c>
      <c r="G78" s="593" t="e">
        <f>IF('III. INPUT-Baseline'!$I$46=TRUE,0,IF('III. INPUT-Baseline'!$E$142=B77,0,IF('III. INPUT-Baseline'!$F$142=B77,0,IF('III. INPUT-Baseline'!$G$142=B77,0,IF('III. INPUT-Baseline'!$C$142="Yes",0,(F77-H77))))))</f>
        <v>#N/A</v>
      </c>
      <c r="H78" s="158" t="e">
        <f t="shared" ref="H78" si="13">F78*D78</f>
        <v>#N/A</v>
      </c>
      <c r="I78" s="618">
        <f>IF('III. INPUT-Baseline'!D47=0,0,(H78*'III. INPUT-Baseline'!$C$112*0.68*0.001)*(('III. INPUT-Baseline'!G47-'III. INPUT-Baseline'!H47)/'III. INPUT-Baseline'!E47))</f>
        <v>0</v>
      </c>
      <c r="J78" s="158">
        <f t="shared" ref="J78" si="14">I78*gwp_ch4</f>
        <v>0</v>
      </c>
    </row>
    <row r="79" spans="2:17" ht="13" x14ac:dyDescent="0.3">
      <c r="B79" s="596" t="s">
        <v>432</v>
      </c>
      <c r="C79" s="604"/>
      <c r="D79" s="601"/>
      <c r="E79" s="601"/>
      <c r="F79" s="602"/>
      <c r="G79" s="603"/>
      <c r="H79" s="619" t="e">
        <f>SUM(H66:H78)</f>
        <v>#N/A</v>
      </c>
      <c r="I79" s="619">
        <f>SUM(I66:I78)</f>
        <v>0</v>
      </c>
      <c r="J79" s="619">
        <f>SUM(J66:J78)</f>
        <v>0</v>
      </c>
    </row>
    <row r="80" spans="2:17" ht="13" x14ac:dyDescent="0.3">
      <c r="B80" s="3"/>
      <c r="C80" s="3"/>
      <c r="D80" s="60"/>
      <c r="E80" s="60"/>
      <c r="F80" s="61"/>
      <c r="G80" s="61"/>
      <c r="H80" s="61"/>
      <c r="I80" s="61"/>
      <c r="J80" s="61"/>
    </row>
    <row r="81" spans="1:94" ht="13" x14ac:dyDescent="0.3">
      <c r="B81" s="3"/>
      <c r="C81" s="49"/>
      <c r="E81" s="656" t="s">
        <v>433</v>
      </c>
      <c r="F81" s="675"/>
      <c r="G81" s="675"/>
      <c r="H81" s="675"/>
      <c r="I81" s="675"/>
      <c r="J81" s="676"/>
    </row>
    <row r="82" spans="1:94" s="162" customFormat="1" ht="13" x14ac:dyDescent="0.3">
      <c r="A82" s="3"/>
      <c r="B82" s="3"/>
      <c r="C82" s="3"/>
      <c r="D82" s="60"/>
      <c r="E82" s="677"/>
      <c r="F82" s="678"/>
      <c r="G82" s="678"/>
      <c r="H82" s="678"/>
      <c r="I82" s="678"/>
      <c r="J82" s="679"/>
      <c r="K82" s="153"/>
      <c r="L82" s="153"/>
      <c r="M82" s="154"/>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row>
    <row r="83" spans="1:94" x14ac:dyDescent="0.25">
      <c r="E83" s="680"/>
      <c r="F83" s="681"/>
      <c r="G83" s="681"/>
      <c r="H83" s="681"/>
      <c r="I83" s="681"/>
      <c r="J83" s="682"/>
    </row>
    <row r="84" spans="1:94" ht="13" x14ac:dyDescent="0.3">
      <c r="B84" s="585">
        <f>B62</f>
        <v>0</v>
      </c>
      <c r="C84" s="585">
        <f>'III. INPUT-Baseline'!B126</f>
        <v>0</v>
      </c>
      <c r="D84" s="149"/>
      <c r="E84" s="60"/>
      <c r="F84" s="60"/>
      <c r="G84" s="60"/>
      <c r="H84" s="60"/>
      <c r="I84" s="60"/>
      <c r="J84" s="60"/>
      <c r="K84" s="4"/>
      <c r="L84" s="4"/>
      <c r="M84" s="4"/>
      <c r="O84" s="4"/>
      <c r="P84" s="34"/>
      <c r="Q84" s="34"/>
      <c r="R84" s="34"/>
    </row>
    <row r="85" spans="1:94" ht="15" x14ac:dyDescent="0.4">
      <c r="B85" s="546" t="s">
        <v>423</v>
      </c>
      <c r="C85" s="586">
        <f>C63</f>
        <v>0</v>
      </c>
      <c r="E85" s="61"/>
      <c r="F85" s="60"/>
      <c r="G85" s="60"/>
      <c r="H85" s="60"/>
      <c r="I85" s="60"/>
      <c r="J85" s="60"/>
      <c r="K85" s="4"/>
      <c r="L85" s="4"/>
      <c r="M85" s="4"/>
      <c r="O85" s="4"/>
      <c r="P85" s="34"/>
      <c r="Q85" s="34"/>
      <c r="R85" s="34"/>
    </row>
    <row r="86" spans="1:94" ht="13" x14ac:dyDescent="0.3">
      <c r="B86" s="607"/>
      <c r="C86" s="608"/>
      <c r="E86" s="61"/>
      <c r="F86" s="60"/>
      <c r="G86" s="60"/>
      <c r="H86" s="60"/>
      <c r="I86" s="60"/>
      <c r="J86" s="60"/>
      <c r="K86" s="4"/>
      <c r="L86" s="4"/>
      <c r="M86" s="4"/>
      <c r="O86" s="4"/>
      <c r="P86" s="34"/>
      <c r="Q86" s="34"/>
      <c r="R86" s="34"/>
    </row>
    <row r="87" spans="1:94" ht="29" x14ac:dyDescent="0.4">
      <c r="B87" s="136" t="s">
        <v>246</v>
      </c>
      <c r="C87" s="136" t="s">
        <v>424</v>
      </c>
      <c r="D87" s="606" t="s">
        <v>425</v>
      </c>
      <c r="E87" s="590" t="s">
        <v>426</v>
      </c>
      <c r="F87" s="591" t="s">
        <v>427</v>
      </c>
      <c r="G87" s="590" t="s">
        <v>428</v>
      </c>
      <c r="H87" s="591" t="s">
        <v>429</v>
      </c>
      <c r="I87" s="591" t="s">
        <v>430</v>
      </c>
      <c r="J87" s="591" t="s">
        <v>431</v>
      </c>
      <c r="K87" s="34"/>
      <c r="L87" s="34"/>
      <c r="M87" s="34"/>
    </row>
    <row r="88" spans="1:94" x14ac:dyDescent="0.25">
      <c r="B88" s="556" t="str">
        <f>'III. INPUT-Baseline'!$B$35</f>
        <v>-</v>
      </c>
      <c r="C88" s="594" t="e">
        <f>$C$22</f>
        <v>#N/A</v>
      </c>
      <c r="D88" s="151">
        <f>MIN(0.95, MAX(0.104,EXP(15175*(('III. INPUT-Baseline'!$C$35+273)-303.16)/(1.987*('III. INPUT-Baseline'!$C$35+273)*303.16))))</f>
        <v>0.104</v>
      </c>
      <c r="E88" s="366">
        <f t="shared" ref="E88:E98" si="15">$C$63</f>
        <v>0</v>
      </c>
      <c r="F88" s="158" t="e">
        <f>(E88*'III. INPUT-Baseline'!D73*'III. INPUT-Baseline'!$D$166*C88*0.8)+G88</f>
        <v>#N/A</v>
      </c>
      <c r="G88" s="592">
        <v>0</v>
      </c>
      <c r="H88" s="158" t="e">
        <f>F88*D88</f>
        <v>#N/A</v>
      </c>
      <c r="I88" s="618">
        <f>IF('III. INPUT-Baseline'!D35=0,0,(H88*'III. INPUT-Baseline'!$C$112*0.68*0.001)*(('III. INPUT-Baseline'!G35-'III. INPUT-Baseline'!H35)/'III. INPUT-Baseline'!E35))</f>
        <v>0</v>
      </c>
      <c r="J88" s="158">
        <f t="shared" ref="J88:J99" si="16">I88*gwp_ch4</f>
        <v>0</v>
      </c>
    </row>
    <row r="89" spans="1:94" x14ac:dyDescent="0.25">
      <c r="B89" s="556" t="str">
        <f>'III. INPUT-Baseline'!$B$36</f>
        <v>-</v>
      </c>
      <c r="C89" s="594" t="e">
        <f>$C$23</f>
        <v>#N/A</v>
      </c>
      <c r="D89" s="151">
        <f>MIN(0.95, MAX(0.104,EXP(15175*(('III. INPUT-Baseline'!$C$36+273)-303.16)/(1.987*('III. INPUT-Baseline'!$C$36+273)*303.16))))</f>
        <v>0.104</v>
      </c>
      <c r="E89" s="366">
        <f t="shared" si="15"/>
        <v>0</v>
      </c>
      <c r="F89" s="158" t="e">
        <f>(E89*'III. INPUT-Baseline'!D74*'III. INPUT-Baseline'!$D$166*C89*0.8)+G89</f>
        <v>#N/A</v>
      </c>
      <c r="G89" s="593">
        <f>IF('III. INPUT-Baseline'!$I36=TRUE,0,IF('III. INPUT-Baseline'!$E$143=B88,0,IF('III. INPUT-Baseline'!$F$143=B88,0,IF('III. INPUT-Baseline'!$G$143=B88,0,IF('III. INPUT-Baseline'!$C$143="Yes",0,(F88-H88))))))</f>
        <v>0</v>
      </c>
      <c r="H89" s="158" t="e">
        <f t="shared" ref="H89:H99" si="17">F89*D89</f>
        <v>#N/A</v>
      </c>
      <c r="I89" s="618">
        <f>IF('III. INPUT-Baseline'!D36=0,0,(H89*'III. INPUT-Baseline'!$C$112*0.68*0.001)*(('III. INPUT-Baseline'!G36-'III. INPUT-Baseline'!H36)/'III. INPUT-Baseline'!E36))</f>
        <v>0</v>
      </c>
      <c r="J89" s="158">
        <f t="shared" si="16"/>
        <v>0</v>
      </c>
    </row>
    <row r="90" spans="1:94" x14ac:dyDescent="0.25">
      <c r="B90" s="556" t="str">
        <f>'III. INPUT-Baseline'!$B$37</f>
        <v>-</v>
      </c>
      <c r="C90" s="594" t="e">
        <f>$C$24</f>
        <v>#N/A</v>
      </c>
      <c r="D90" s="151">
        <f>MIN(0.95, MAX(0.104,EXP(15175*(('III. INPUT-Baseline'!$C$37+273)-303.16)/(1.987*('III. INPUT-Baseline'!$C$37+273)*303.16))))</f>
        <v>0.104</v>
      </c>
      <c r="E90" s="366">
        <f t="shared" si="15"/>
        <v>0</v>
      </c>
      <c r="F90" s="158" t="e">
        <f>(E90*'III. INPUT-Baseline'!D75*'III. INPUT-Baseline'!$D$166*C90*0.8)+G90</f>
        <v>#N/A</v>
      </c>
      <c r="G90" s="593">
        <f>IF('III. INPUT-Baseline'!$I37=TRUE,0,IF('III. INPUT-Baseline'!$E$143=B89,0,IF('III. INPUT-Baseline'!$F$143=B89,0,IF('III. INPUT-Baseline'!$G$143=B89,0,IF('III. INPUT-Baseline'!$C$143="Yes",0,(F89-H89))))))</f>
        <v>0</v>
      </c>
      <c r="H90" s="158" t="e">
        <f t="shared" si="17"/>
        <v>#N/A</v>
      </c>
      <c r="I90" s="618">
        <f>IF('III. INPUT-Baseline'!D37=0,0,(H90*'III. INPUT-Baseline'!$C$112*0.68*0.001)*(('III. INPUT-Baseline'!G37-'III. INPUT-Baseline'!H37)/'III. INPUT-Baseline'!E37))</f>
        <v>0</v>
      </c>
      <c r="J90" s="158">
        <f t="shared" si="16"/>
        <v>0</v>
      </c>
    </row>
    <row r="91" spans="1:94" x14ac:dyDescent="0.25">
      <c r="B91" s="556" t="str">
        <f>'III. INPUT-Baseline'!$B$38</f>
        <v>-</v>
      </c>
      <c r="C91" s="594" t="e">
        <f>$C$25</f>
        <v>#N/A</v>
      </c>
      <c r="D91" s="151">
        <f>MIN(0.95, MAX(0.104,EXP(15175*(('III. INPUT-Baseline'!$C$38+273)-303.16)/(1.987*('III. INPUT-Baseline'!$C$38+273)*303.16))))</f>
        <v>0.104</v>
      </c>
      <c r="E91" s="366">
        <f t="shared" si="15"/>
        <v>0</v>
      </c>
      <c r="F91" s="158" t="e">
        <f>(E91*'III. INPUT-Baseline'!D76*'III. INPUT-Baseline'!$D$166*C91*0.8)+G91</f>
        <v>#N/A</v>
      </c>
      <c r="G91" s="593">
        <f>IF('III. INPUT-Baseline'!$I38=TRUE,0,IF('III. INPUT-Baseline'!$E$143=B90,0,IF('III. INPUT-Baseline'!$F$143=B90,0,IF('III. INPUT-Baseline'!$G$143=B90,0,IF('III. INPUT-Baseline'!$C$143="Yes",0,(F90-H90))))))</f>
        <v>0</v>
      </c>
      <c r="H91" s="158" t="e">
        <f t="shared" si="17"/>
        <v>#N/A</v>
      </c>
      <c r="I91" s="618">
        <f>IF('III. INPUT-Baseline'!D38=0,0,(H91*'III. INPUT-Baseline'!$C$112*0.68*0.001)*(('III. INPUT-Baseline'!G38-'III. INPUT-Baseline'!H38)/'III. INPUT-Baseline'!E38))</f>
        <v>0</v>
      </c>
      <c r="J91" s="158">
        <f t="shared" si="16"/>
        <v>0</v>
      </c>
    </row>
    <row r="92" spans="1:94" x14ac:dyDescent="0.25">
      <c r="B92" s="556" t="str">
        <f>'III. INPUT-Baseline'!$B$39</f>
        <v>-</v>
      </c>
      <c r="C92" s="594" t="e">
        <f>$C$26</f>
        <v>#N/A</v>
      </c>
      <c r="D92" s="151">
        <f>MIN(0.95, MAX(0.104,EXP(15175*(('III. INPUT-Baseline'!$C$39+273)-303.16)/(1.987*('III. INPUT-Baseline'!$C$39+273)*303.16))))</f>
        <v>0.104</v>
      </c>
      <c r="E92" s="366">
        <f t="shared" si="15"/>
        <v>0</v>
      </c>
      <c r="F92" s="158" t="e">
        <f>(E92*'III. INPUT-Baseline'!D77*'III. INPUT-Baseline'!$D$166*C92*0.8)+G92</f>
        <v>#N/A</v>
      </c>
      <c r="G92" s="593">
        <f>IF('III. INPUT-Baseline'!$I39=TRUE,0,IF('III. INPUT-Baseline'!$E$143=B91,0,IF('III. INPUT-Baseline'!$F$143=B91,0,IF('III. INPUT-Baseline'!$G$143=B91,0,IF('III. INPUT-Baseline'!$C$143="Yes",0,(F91-H91))))))</f>
        <v>0</v>
      </c>
      <c r="H92" s="158" t="e">
        <f t="shared" si="17"/>
        <v>#N/A</v>
      </c>
      <c r="I92" s="618">
        <f>IF('III. INPUT-Baseline'!D39=0,0,(H92*'III. INPUT-Baseline'!$C$112*0.68*0.001)*(('III. INPUT-Baseline'!G39-'III. INPUT-Baseline'!H39)/'III. INPUT-Baseline'!E39))</f>
        <v>0</v>
      </c>
      <c r="J92" s="158">
        <f t="shared" si="16"/>
        <v>0</v>
      </c>
    </row>
    <row r="93" spans="1:94" x14ac:dyDescent="0.25">
      <c r="B93" s="556" t="str">
        <f>'III. INPUT-Baseline'!$B$40</f>
        <v>-</v>
      </c>
      <c r="C93" s="594" t="e">
        <f>$C$27</f>
        <v>#N/A</v>
      </c>
      <c r="D93" s="151">
        <f>MIN(0.95, MAX(0.104,EXP(15175*(('III. INPUT-Baseline'!$C$40+273)-303.16)/(1.987*('III. INPUT-Baseline'!$C$40+273)*303.16))))</f>
        <v>0.104</v>
      </c>
      <c r="E93" s="366">
        <f t="shared" si="15"/>
        <v>0</v>
      </c>
      <c r="F93" s="158" t="e">
        <f>(E93*'III. INPUT-Baseline'!D78*'III. INPUT-Baseline'!$D$166*C93*0.8)+G93</f>
        <v>#N/A</v>
      </c>
      <c r="G93" s="593">
        <f>IF('III. INPUT-Baseline'!$I40=TRUE,0,IF('III. INPUT-Baseline'!$E$143=B92,0,IF('III. INPUT-Baseline'!$F$143=B92,0,IF('III. INPUT-Baseline'!$G$143=B92,0,IF('III. INPUT-Baseline'!$C$143="Yes",0,(F92-H92))))))</f>
        <v>0</v>
      </c>
      <c r="H93" s="158" t="e">
        <f t="shared" si="17"/>
        <v>#N/A</v>
      </c>
      <c r="I93" s="618">
        <f>IF('III. INPUT-Baseline'!D40=0,0,(H93*'III. INPUT-Baseline'!$C$112*0.68*0.001)*(('III. INPUT-Baseline'!G40-'III. INPUT-Baseline'!H40)/'III. INPUT-Baseline'!E40))</f>
        <v>0</v>
      </c>
      <c r="J93" s="158">
        <f t="shared" si="16"/>
        <v>0</v>
      </c>
    </row>
    <row r="94" spans="1:94" x14ac:dyDescent="0.25">
      <c r="B94" s="556" t="str">
        <f>'III. INPUT-Baseline'!$B$41</f>
        <v>-</v>
      </c>
      <c r="C94" s="594" t="e">
        <f>$C$28</f>
        <v>#N/A</v>
      </c>
      <c r="D94" s="151">
        <f>MIN(0.95, MAX(0.104,EXP(15175*(('III. INPUT-Baseline'!$C$41+273)-303.16)/(1.987*('III. INPUT-Baseline'!$C$41+273)*303.16))))</f>
        <v>0.104</v>
      </c>
      <c r="E94" s="366">
        <f t="shared" si="15"/>
        <v>0</v>
      </c>
      <c r="F94" s="158" t="e">
        <f>(E94*'III. INPUT-Baseline'!D79*'III. INPUT-Baseline'!$D$166*C94*0.8)+G94</f>
        <v>#N/A</v>
      </c>
      <c r="G94" s="593">
        <f>IF('III. INPUT-Baseline'!$I41=TRUE,0,IF('III. INPUT-Baseline'!$E$143=B93,0,IF('III. INPUT-Baseline'!$F$143=B93,0,IF('III. INPUT-Baseline'!$G$143=B93,0,IF('III. INPUT-Baseline'!$C$143="Yes",0,(F93-H93))))))</f>
        <v>0</v>
      </c>
      <c r="H94" s="158" t="e">
        <f t="shared" si="17"/>
        <v>#N/A</v>
      </c>
      <c r="I94" s="618">
        <f>IF('III. INPUT-Baseline'!D41=0,0,(H94*'III. INPUT-Baseline'!$C$112*0.68*0.001)*(('III. INPUT-Baseline'!G41-'III. INPUT-Baseline'!H41)/'III. INPUT-Baseline'!E41))</f>
        <v>0</v>
      </c>
      <c r="J94" s="158">
        <f t="shared" si="16"/>
        <v>0</v>
      </c>
    </row>
    <row r="95" spans="1:94" x14ac:dyDescent="0.25">
      <c r="B95" s="556" t="str">
        <f>'III. INPUT-Baseline'!$B$42</f>
        <v>-</v>
      </c>
      <c r="C95" s="594" t="e">
        <f>$C$29</f>
        <v>#N/A</v>
      </c>
      <c r="D95" s="151">
        <f>MIN(0.95, MAX(0.104,EXP(15175*(('III. INPUT-Baseline'!$C$42+273)-303.16)/(1.987*('III. INPUT-Baseline'!$C$42+273)*303.16))))</f>
        <v>0.104</v>
      </c>
      <c r="E95" s="366">
        <f t="shared" si="15"/>
        <v>0</v>
      </c>
      <c r="F95" s="158" t="e">
        <f>(E95*'III. INPUT-Baseline'!D80*'III. INPUT-Baseline'!$D$166*C95*0.8)+G95</f>
        <v>#N/A</v>
      </c>
      <c r="G95" s="593">
        <f>IF('III. INPUT-Baseline'!$I42=TRUE,0,IF('III. INPUT-Baseline'!$E$143=B94,0,IF('III. INPUT-Baseline'!$F$143=B94,0,IF('III. INPUT-Baseline'!$G$143=B94,0,IF('III. INPUT-Baseline'!$C$143="Yes",0,(F94-H94))))))</f>
        <v>0</v>
      </c>
      <c r="H95" s="158" t="e">
        <f t="shared" si="17"/>
        <v>#N/A</v>
      </c>
      <c r="I95" s="618">
        <f>IF('III. INPUT-Baseline'!D42=0,0,(H95*'III. INPUT-Baseline'!$C$112*0.68*0.001)*(('III. INPUT-Baseline'!G42-'III. INPUT-Baseline'!H42)/'III. INPUT-Baseline'!E42))</f>
        <v>0</v>
      </c>
      <c r="J95" s="158">
        <f t="shared" si="16"/>
        <v>0</v>
      </c>
    </row>
    <row r="96" spans="1:94" s="3" customFormat="1" ht="13" x14ac:dyDescent="0.3">
      <c r="B96" s="556" t="str">
        <f>'III. INPUT-Baseline'!$B$43</f>
        <v>-</v>
      </c>
      <c r="C96" s="594" t="e">
        <f>$C$30</f>
        <v>#N/A</v>
      </c>
      <c r="D96" s="151">
        <f>MIN(0.95, MAX(0.104,EXP(15175*(('III. INPUT-Baseline'!$C$43+273)-303.16)/(1.987*('III. INPUT-Baseline'!$C$43+273)*303.16))))</f>
        <v>0.104</v>
      </c>
      <c r="E96" s="366">
        <f t="shared" si="15"/>
        <v>0</v>
      </c>
      <c r="F96" s="158" t="e">
        <f>(E96*'III. INPUT-Baseline'!D81*'III. INPUT-Baseline'!$D$166*C96*0.8)+G96</f>
        <v>#N/A</v>
      </c>
      <c r="G96" s="593">
        <f>IF('III. INPUT-Baseline'!$I43=TRUE,0,IF('III. INPUT-Baseline'!$E$143=B95,0,IF('III. INPUT-Baseline'!$F$143=B95,0,IF('III. INPUT-Baseline'!$G$143=B95,0,IF('III. INPUT-Baseline'!$C$143="Yes",0,(F95-H95))))))</f>
        <v>0</v>
      </c>
      <c r="H96" s="158" t="e">
        <f t="shared" si="17"/>
        <v>#N/A</v>
      </c>
      <c r="I96" s="618">
        <f>IF('III. INPUT-Baseline'!D43=0,0,(H96*'III. INPUT-Baseline'!$C$112*0.68*0.001)*(('III. INPUT-Baseline'!G43-'III. INPUT-Baseline'!H43)/'III. INPUT-Baseline'!E43))</f>
        <v>0</v>
      </c>
      <c r="J96" s="158">
        <f t="shared" si="16"/>
        <v>0</v>
      </c>
      <c r="K96" s="153"/>
      <c r="L96" s="153"/>
      <c r="M96" s="154"/>
      <c r="N96" s="154"/>
      <c r="O96" s="4"/>
      <c r="Q96" s="153"/>
    </row>
    <row r="97" spans="1:94" x14ac:dyDescent="0.25">
      <c r="B97" s="556" t="str">
        <f>'III. INPUT-Baseline'!$B$44</f>
        <v>-</v>
      </c>
      <c r="C97" s="594" t="e">
        <f>$C$31</f>
        <v>#N/A</v>
      </c>
      <c r="D97" s="151">
        <f>MIN(0.95, MAX(0.104,EXP(15175*(('III. INPUT-Baseline'!$C$44+273)-303.16)/(1.987*('III. INPUT-Baseline'!$C$44+273)*303.16))))</f>
        <v>0.104</v>
      </c>
      <c r="E97" s="366">
        <f t="shared" si="15"/>
        <v>0</v>
      </c>
      <c r="F97" s="158" t="e">
        <f>(E97*'III. INPUT-Baseline'!D82*'III. INPUT-Baseline'!$D$166*C97*0.8)+G97</f>
        <v>#N/A</v>
      </c>
      <c r="G97" s="593">
        <f>IF('III. INPUT-Baseline'!$I44=TRUE,0,IF('III. INPUT-Baseline'!$E$143=B96,0,IF('III. INPUT-Baseline'!$F$143=B96,0,IF('III. INPUT-Baseline'!$G$143=B96,0,IF('III. INPUT-Baseline'!$C$143="Yes",0,(F96-H96))))))</f>
        <v>0</v>
      </c>
      <c r="H97" s="158" t="e">
        <f t="shared" si="17"/>
        <v>#N/A</v>
      </c>
      <c r="I97" s="618">
        <f>IF('III. INPUT-Baseline'!D44=0,0,(H97*'III. INPUT-Baseline'!$C$112*0.68*0.001)*(('III. INPUT-Baseline'!G44-'III. INPUT-Baseline'!H44)/'III. INPUT-Baseline'!E44))</f>
        <v>0</v>
      </c>
      <c r="J97" s="158">
        <f t="shared" si="16"/>
        <v>0</v>
      </c>
      <c r="K97" s="94"/>
      <c r="L97" s="94"/>
      <c r="M97" s="94"/>
      <c r="N97" s="156"/>
      <c r="O97" s="94"/>
      <c r="P97" s="156"/>
      <c r="Q97" s="156"/>
    </row>
    <row r="98" spans="1:94" s="3" customFormat="1" ht="13" x14ac:dyDescent="0.3">
      <c r="B98" s="556" t="str">
        <f>'III. INPUT-Baseline'!$B$45</f>
        <v>-</v>
      </c>
      <c r="C98" s="594" t="e">
        <f>$C$32</f>
        <v>#N/A</v>
      </c>
      <c r="D98" s="151">
        <f>MIN(0.95, MAX(0.104,EXP(15175*(('III. INPUT-Baseline'!$C$45+273)-303.16)/(1.987*('III. INPUT-Baseline'!$C$45+273)*303.16))))</f>
        <v>0.104</v>
      </c>
      <c r="E98" s="366">
        <f t="shared" si="15"/>
        <v>0</v>
      </c>
      <c r="F98" s="158" t="e">
        <f>(E98*'III. INPUT-Baseline'!D83*'III. INPUT-Baseline'!$D$166*C98*0.8)+G98</f>
        <v>#N/A</v>
      </c>
      <c r="G98" s="593">
        <f>IF('III. INPUT-Baseline'!$I45=TRUE,0,IF('III. INPUT-Baseline'!$E$143=B97,0,IF('III. INPUT-Baseline'!$F$143=B97,0,IF('III. INPUT-Baseline'!$G$143=B97,0,IF('III. INPUT-Baseline'!$C$143="Yes",0,(F97-H97))))))</f>
        <v>0</v>
      </c>
      <c r="H98" s="158" t="e">
        <f t="shared" si="17"/>
        <v>#N/A</v>
      </c>
      <c r="I98" s="618">
        <f>IF('III. INPUT-Baseline'!D45=0,0,(H98*'III. INPUT-Baseline'!$C$112*0.68*0.001)*(('III. INPUT-Baseline'!G45-'III. INPUT-Baseline'!H45)/'III. INPUT-Baseline'!E45))</f>
        <v>0</v>
      </c>
      <c r="J98" s="158">
        <f t="shared" si="16"/>
        <v>0</v>
      </c>
      <c r="K98" s="4"/>
      <c r="L98" s="4"/>
      <c r="M98" s="4"/>
      <c r="O98" s="4"/>
    </row>
    <row r="99" spans="1:94" ht="13" x14ac:dyDescent="0.3">
      <c r="B99" s="556" t="str">
        <f>'III. INPUT-Baseline'!$B$46</f>
        <v>-</v>
      </c>
      <c r="C99" s="594" t="e">
        <f>$C$33</f>
        <v>#N/A</v>
      </c>
      <c r="D99" s="151">
        <f>MIN(0.95, MAX(0.104,EXP(15175*(('III. INPUT-Baseline'!$C$46+273)-303.16)/(1.987*('III. INPUT-Baseline'!$C$46+273)*303.16))))</f>
        <v>0.104</v>
      </c>
      <c r="E99" s="366">
        <f>$C$63</f>
        <v>0</v>
      </c>
      <c r="F99" s="158" t="e">
        <f>(E99*'III. INPUT-Baseline'!D84*'III. INPUT-Baseline'!$D$166*C99*0.8)+G99</f>
        <v>#N/A</v>
      </c>
      <c r="G99" s="593">
        <f>IF('III. INPUT-Baseline'!$I46=TRUE,0,IF('III. INPUT-Baseline'!$E$143=B98,0,IF('III. INPUT-Baseline'!$F$143=B98,0,IF('III. INPUT-Baseline'!$G$143=B98,0,IF('III. INPUT-Baseline'!$C$143="Yes",0,(F98-H98))))))</f>
        <v>0</v>
      </c>
      <c r="H99" s="158" t="e">
        <f t="shared" si="17"/>
        <v>#N/A</v>
      </c>
      <c r="I99" s="618">
        <f>IF('III. INPUT-Baseline'!D46=0,0,(H99*'III. INPUT-Baseline'!$C$112*0.68*0.001)*(('III. INPUT-Baseline'!G46-'III. INPUT-Baseline'!H46)/'III. INPUT-Baseline'!E46))</f>
        <v>0</v>
      </c>
      <c r="J99" s="158">
        <f t="shared" si="16"/>
        <v>0</v>
      </c>
      <c r="K99" s="4"/>
      <c r="L99" s="4"/>
      <c r="M99" s="4"/>
      <c r="O99" s="49"/>
    </row>
    <row r="100" spans="1:94" ht="13" x14ac:dyDescent="0.3">
      <c r="B100" s="609" t="str">
        <f>'III. INPUT-Baseline'!$B$47</f>
        <v>-</v>
      </c>
      <c r="C100" s="620" t="e">
        <f>$C$34</f>
        <v>#N/A</v>
      </c>
      <c r="D100" s="151">
        <f>MIN(0.95, MAX(0.104,EXP(15175*(('III. INPUT-Baseline'!$C$47+273)-303.16)/(1.987*('III. INPUT-Baseline'!$C$47+273)*303.16))))</f>
        <v>0.104</v>
      </c>
      <c r="E100" s="611">
        <f>$C$63</f>
        <v>0</v>
      </c>
      <c r="F100" s="610" t="e">
        <f>(E100*'III. INPUT-Baseline'!D85*'III. INPUT-Baseline'!$D$166*C100*0.8)+G100</f>
        <v>#N/A</v>
      </c>
      <c r="G100" s="612">
        <f>IF('III. INPUT-Baseline'!$I47=TRUE,0,IF('III. INPUT-Baseline'!$E$143=B99,0,IF('III. INPUT-Baseline'!$F$143=B99,0,IF('III. INPUT-Baseline'!$G$143=B99,0,IF('III. INPUT-Baseline'!$C$143="Yes",0,(F99-H99))))))</f>
        <v>0</v>
      </c>
      <c r="H100" s="610" t="e">
        <f t="shared" ref="H100" si="18">F100*D100</f>
        <v>#N/A</v>
      </c>
      <c r="I100" s="618">
        <f>IF('III. INPUT-Baseline'!D47=0,0,(H100*'III. INPUT-Baseline'!$C$112*0.68*0.001)*(('III. INPUT-Baseline'!G47-'III. INPUT-Baseline'!H47)/'III. INPUT-Baseline'!E47))</f>
        <v>0</v>
      </c>
      <c r="J100" s="610">
        <f t="shared" ref="J100" si="19">I100*gwp_ch4</f>
        <v>0</v>
      </c>
      <c r="K100" s="4"/>
      <c r="L100" s="4"/>
      <c r="M100" s="4"/>
      <c r="O100" s="49"/>
    </row>
    <row r="101" spans="1:94" ht="13" x14ac:dyDescent="0.3">
      <c r="B101" s="596" t="s">
        <v>432</v>
      </c>
      <c r="C101" s="613"/>
      <c r="D101" s="598"/>
      <c r="E101" s="598"/>
      <c r="F101" s="614"/>
      <c r="G101" s="615"/>
      <c r="H101" s="619" t="e">
        <f>SUM(H88:H100)</f>
        <v>#N/A</v>
      </c>
      <c r="I101" s="619">
        <f>SUM(I88:I100)</f>
        <v>0</v>
      </c>
      <c r="J101" s="619">
        <f>SUM(J88:J100)</f>
        <v>0</v>
      </c>
      <c r="K101" s="4"/>
      <c r="L101" s="4"/>
      <c r="M101" s="4"/>
      <c r="O101" s="49"/>
    </row>
    <row r="102" spans="1:94" ht="13" x14ac:dyDescent="0.3">
      <c r="B102" s="3"/>
      <c r="C102" s="3"/>
      <c r="D102" s="60"/>
      <c r="E102" s="60"/>
      <c r="F102" s="61"/>
      <c r="G102" s="61"/>
      <c r="H102" s="61"/>
      <c r="I102" s="61"/>
      <c r="J102" s="61"/>
      <c r="K102" s="4"/>
      <c r="L102" s="4"/>
      <c r="M102" s="4"/>
      <c r="O102" s="49"/>
    </row>
    <row r="103" spans="1:94" s="64" customFormat="1" ht="13" x14ac:dyDescent="0.3">
      <c r="A103" s="11"/>
      <c r="B103" s="3"/>
      <c r="C103" s="49"/>
      <c r="D103" s="39"/>
      <c r="E103" s="656" t="s">
        <v>433</v>
      </c>
      <c r="F103" s="675"/>
      <c r="G103" s="675"/>
      <c r="H103" s="675"/>
      <c r="I103" s="675"/>
      <c r="J103" s="676"/>
      <c r="K103" s="11"/>
      <c r="L103" s="11"/>
      <c r="M103" s="11"/>
      <c r="N103" s="3"/>
      <c r="O103" s="49"/>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1"/>
      <c r="BF103" s="11"/>
      <c r="BG103" s="11"/>
      <c r="BH103" s="11"/>
      <c r="BI103" s="11"/>
      <c r="BJ103" s="11"/>
      <c r="BK103" s="11"/>
      <c r="BL103" s="11"/>
      <c r="BM103" s="11"/>
      <c r="BN103" s="11"/>
      <c r="BO103" s="11"/>
      <c r="BP103" s="11"/>
      <c r="BQ103" s="11"/>
      <c r="BR103" s="11"/>
      <c r="BS103" s="11"/>
      <c r="BT103" s="11"/>
      <c r="BU103" s="11"/>
      <c r="BV103" s="11"/>
      <c r="BW103" s="11"/>
      <c r="BX103" s="11"/>
      <c r="BY103" s="11"/>
      <c r="BZ103" s="11"/>
      <c r="CA103" s="11"/>
      <c r="CB103" s="11"/>
      <c r="CC103" s="11"/>
      <c r="CD103" s="11"/>
      <c r="CE103" s="11"/>
      <c r="CF103" s="11"/>
      <c r="CG103" s="11"/>
      <c r="CH103" s="11"/>
      <c r="CI103" s="11"/>
      <c r="CJ103" s="11"/>
      <c r="CK103" s="11"/>
      <c r="CL103" s="11"/>
      <c r="CM103" s="11"/>
      <c r="CN103" s="11"/>
      <c r="CO103" s="11"/>
      <c r="CP103" s="11"/>
    </row>
    <row r="104" spans="1:94" s="64" customFormat="1" ht="13" x14ac:dyDescent="0.3">
      <c r="A104" s="11"/>
      <c r="B104" s="3"/>
      <c r="C104" s="49"/>
      <c r="D104" s="39"/>
      <c r="E104" s="677"/>
      <c r="F104" s="678"/>
      <c r="G104" s="678"/>
      <c r="H104" s="678"/>
      <c r="I104" s="678"/>
      <c r="J104" s="679"/>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1"/>
      <c r="BF104" s="11"/>
      <c r="BG104" s="11"/>
      <c r="BH104" s="11"/>
      <c r="BI104" s="11"/>
      <c r="BJ104" s="11"/>
      <c r="BK104" s="11"/>
      <c r="BL104" s="11"/>
      <c r="BM104" s="11"/>
      <c r="BN104" s="11"/>
      <c r="BO104" s="11"/>
      <c r="BP104" s="11"/>
      <c r="BQ104" s="11"/>
      <c r="BR104" s="11"/>
      <c r="BS104" s="11"/>
      <c r="BT104" s="11"/>
      <c r="BU104" s="11"/>
      <c r="BV104" s="11"/>
      <c r="BW104" s="11"/>
      <c r="BX104" s="11"/>
      <c r="BY104" s="11"/>
      <c r="BZ104" s="11"/>
      <c r="CA104" s="11"/>
      <c r="CB104" s="11"/>
      <c r="CC104" s="11"/>
      <c r="CD104" s="11"/>
      <c r="CE104" s="11"/>
      <c r="CF104" s="11"/>
      <c r="CG104" s="11"/>
      <c r="CH104" s="11"/>
      <c r="CI104" s="11"/>
      <c r="CJ104" s="11"/>
      <c r="CK104" s="11"/>
      <c r="CL104" s="11"/>
      <c r="CM104" s="11"/>
      <c r="CN104" s="11"/>
      <c r="CO104" s="11"/>
      <c r="CP104" s="11"/>
    </row>
    <row r="105" spans="1:94" ht="26" x14ac:dyDescent="0.3">
      <c r="B105" s="585">
        <f>'III. INPUT-Baseline'!B56</f>
        <v>0</v>
      </c>
      <c r="C105" s="585" t="str">
        <f>'III. INPUT-Baseline'!B125</f>
        <v>Uncovered anaerobic lagoon</v>
      </c>
      <c r="D105" s="149"/>
      <c r="E105" s="680"/>
      <c r="F105" s="681"/>
      <c r="G105" s="681"/>
      <c r="H105" s="681"/>
      <c r="I105" s="681"/>
      <c r="J105" s="682"/>
    </row>
    <row r="106" spans="1:94" ht="15" x14ac:dyDescent="0.4">
      <c r="B106" s="546" t="s">
        <v>423</v>
      </c>
      <c r="C106" s="586">
        <f>'III. INPUT-Baseline'!D99</f>
        <v>0</v>
      </c>
      <c r="E106" s="61"/>
      <c r="F106" s="60"/>
      <c r="G106" s="60"/>
      <c r="H106" s="60"/>
      <c r="I106" s="60"/>
      <c r="J106" s="60"/>
    </row>
    <row r="107" spans="1:94" ht="13" x14ac:dyDescent="0.3">
      <c r="B107" s="616"/>
      <c r="C107" s="617"/>
      <c r="E107" s="61"/>
      <c r="F107" s="60"/>
      <c r="G107" s="60"/>
      <c r="H107" s="60"/>
      <c r="I107" s="60"/>
      <c r="J107" s="60"/>
    </row>
    <row r="108" spans="1:94" ht="29" x14ac:dyDescent="0.4">
      <c r="B108" s="136" t="s">
        <v>246</v>
      </c>
      <c r="C108" s="136" t="s">
        <v>424</v>
      </c>
      <c r="D108" s="606" t="s">
        <v>425</v>
      </c>
      <c r="E108" s="590" t="s">
        <v>426</v>
      </c>
      <c r="F108" s="591" t="s">
        <v>427</v>
      </c>
      <c r="G108" s="590" t="s">
        <v>428</v>
      </c>
      <c r="H108" s="591" t="s">
        <v>429</v>
      </c>
      <c r="I108" s="591" t="s">
        <v>430</v>
      </c>
      <c r="J108" s="591" t="s">
        <v>431</v>
      </c>
      <c r="K108" s="34"/>
      <c r="L108" s="34"/>
      <c r="M108" s="34"/>
    </row>
    <row r="109" spans="1:94" x14ac:dyDescent="0.25">
      <c r="B109" s="556" t="str">
        <f>'III. INPUT-Baseline'!$B$35</f>
        <v>-</v>
      </c>
      <c r="C109" s="594" t="e">
        <f>$C$22</f>
        <v>#N/A</v>
      </c>
      <c r="D109" s="151">
        <f>MIN(0.95, MAX(0.104,EXP(15175*(('III. INPUT-Baseline'!$C$35+273)-303.16)/(1.987*('III. INPUT-Baseline'!$C$35+273)*303.16))))</f>
        <v>0.104</v>
      </c>
      <c r="E109" s="366">
        <f t="shared" ref="E109:E121" si="20">$C$106</f>
        <v>0</v>
      </c>
      <c r="F109" s="158" t="e">
        <f>(E109*'III. INPUT-Baseline'!E73*'III. INPUT-Baseline'!$E$165*C109*0.8)+G109</f>
        <v>#N/A</v>
      </c>
      <c r="G109" s="592">
        <v>0</v>
      </c>
      <c r="H109" s="158" t="e">
        <f>F109*D109</f>
        <v>#N/A</v>
      </c>
      <c r="I109" s="618">
        <f>IF('III. INPUT-Baseline'!D35=0,0,(H109*'III. INPUT-Baseline'!$C$113*0.68*0.001)*(('III. INPUT-Baseline'!G35-'III. INPUT-Baseline'!H35)/'III. INPUT-Baseline'!E35))</f>
        <v>0</v>
      </c>
      <c r="J109" s="158">
        <f t="shared" ref="J109:J120" si="21">I109*gwp_ch4</f>
        <v>0</v>
      </c>
    </row>
    <row r="110" spans="1:94" x14ac:dyDescent="0.25">
      <c r="B110" s="556" t="str">
        <f>'III. INPUT-Baseline'!$B$36</f>
        <v>-</v>
      </c>
      <c r="C110" s="594" t="e">
        <f>$C$23</f>
        <v>#N/A</v>
      </c>
      <c r="D110" s="151">
        <f>MIN(0.95, MAX(0.104,EXP(15175*(('III. INPUT-Baseline'!$C$36+273)-303.16)/(1.987*('III. INPUT-Baseline'!$C$36+273)*303.16))))</f>
        <v>0.104</v>
      </c>
      <c r="E110" s="366">
        <f t="shared" si="20"/>
        <v>0</v>
      </c>
      <c r="F110" s="158" t="e">
        <f>(E110*'III. INPUT-Baseline'!E74*'III. INPUT-Baseline'!$E$165*C110*0.8)+G110</f>
        <v>#N/A</v>
      </c>
      <c r="G110" s="593" t="e">
        <f>IF('III. INPUT-Baseline'!$I$36=TRUE,0,IF('III. INPUT-Baseline'!$E$142=B109,0,IF('III. INPUT-Baseline'!$F$142=B109,0,IF('III. INPUT-Baseline'!$G$142=B109,0,IF('III. INPUT-Baseline'!$C$142="Yes",0,(F109-H109))))))</f>
        <v>#N/A</v>
      </c>
      <c r="H110" s="158" t="e">
        <f t="shared" ref="H110:H120" si="22">F110*D110</f>
        <v>#N/A</v>
      </c>
      <c r="I110" s="618">
        <f>IF('III. INPUT-Baseline'!D36=0,0,(H110*'III. INPUT-Baseline'!$C$113*0.68*0.001)*(('III. INPUT-Baseline'!G36-'III. INPUT-Baseline'!H36)/'III. INPUT-Baseline'!E36))</f>
        <v>0</v>
      </c>
      <c r="J110" s="158">
        <f t="shared" si="21"/>
        <v>0</v>
      </c>
    </row>
    <row r="111" spans="1:94" x14ac:dyDescent="0.25">
      <c r="B111" s="556" t="str">
        <f>'III. INPUT-Baseline'!$B$37</f>
        <v>-</v>
      </c>
      <c r="C111" s="594" t="e">
        <f>$C$24</f>
        <v>#N/A</v>
      </c>
      <c r="D111" s="151">
        <f>MIN(0.95, MAX(0.104,EXP(15175*(('III. INPUT-Baseline'!$C$37+273)-303.16)/(1.987*('III. INPUT-Baseline'!$C$37+273)*303.16))))</f>
        <v>0.104</v>
      </c>
      <c r="E111" s="366">
        <f t="shared" si="20"/>
        <v>0</v>
      </c>
      <c r="F111" s="158" t="e">
        <f>(E111*'III. INPUT-Baseline'!E75*'III. INPUT-Baseline'!$E$165*C111*0.8)+G111</f>
        <v>#N/A</v>
      </c>
      <c r="G111" s="593" t="e">
        <f>IF('III. INPUT-Baseline'!$I$37=TRUE,0,IF('III. INPUT-Baseline'!$E$142=B110,0,IF('III. INPUT-Baseline'!$F$142=B110,0,IF('III. INPUT-Baseline'!$G$142=B110,0,IF('III. INPUT-Baseline'!$C$142="Yes",0,(F110-H110))))))</f>
        <v>#N/A</v>
      </c>
      <c r="H111" s="158" t="e">
        <f t="shared" si="22"/>
        <v>#N/A</v>
      </c>
      <c r="I111" s="618">
        <f>IF('III. INPUT-Baseline'!D37=0,0,(H111*'III. INPUT-Baseline'!$C$113*0.68*0.001)*(('III. INPUT-Baseline'!G37-'III. INPUT-Baseline'!H37)/'III. INPUT-Baseline'!E37))</f>
        <v>0</v>
      </c>
      <c r="J111" s="158">
        <f t="shared" si="21"/>
        <v>0</v>
      </c>
    </row>
    <row r="112" spans="1:94" x14ac:dyDescent="0.25">
      <c r="B112" s="556" t="str">
        <f>'III. INPUT-Baseline'!$B$38</f>
        <v>-</v>
      </c>
      <c r="C112" s="594" t="e">
        <f>$C$25</f>
        <v>#N/A</v>
      </c>
      <c r="D112" s="151">
        <f>MIN(0.95, MAX(0.104,EXP(15175*(('III. INPUT-Baseline'!$C$38+273)-303.16)/(1.987*('III. INPUT-Baseline'!$C$38+273)*303.16))))</f>
        <v>0.104</v>
      </c>
      <c r="E112" s="366">
        <f t="shared" si="20"/>
        <v>0</v>
      </c>
      <c r="F112" s="158" t="e">
        <f>(E112*'III. INPUT-Baseline'!E76*'III. INPUT-Baseline'!$E$165*C112*0.8)+G112</f>
        <v>#N/A</v>
      </c>
      <c r="G112" s="593" t="e">
        <f>IF('III. INPUT-Baseline'!$I$38=TRUE,0,IF('III. INPUT-Baseline'!$E$142=B111,0,IF('III. INPUT-Baseline'!$F$142=B111,0,IF('III. INPUT-Baseline'!$G$142=B111,0,IF('III. INPUT-Baseline'!$C$142="Yes",0,(F111-H111))))))</f>
        <v>#N/A</v>
      </c>
      <c r="H112" s="158" t="e">
        <f t="shared" si="22"/>
        <v>#N/A</v>
      </c>
      <c r="I112" s="618">
        <f>IF('III. INPUT-Baseline'!D38=0,0,(H112*'III. INPUT-Baseline'!$C$113*0.68*0.001)*(('III. INPUT-Baseline'!G38-'III. INPUT-Baseline'!H38)/'III. INPUT-Baseline'!E38))</f>
        <v>0</v>
      </c>
      <c r="J112" s="158">
        <f t="shared" si="21"/>
        <v>0</v>
      </c>
    </row>
    <row r="113" spans="1:94" x14ac:dyDescent="0.25">
      <c r="B113" s="556" t="str">
        <f>'III. INPUT-Baseline'!$B$39</f>
        <v>-</v>
      </c>
      <c r="C113" s="594" t="e">
        <f>$C$26</f>
        <v>#N/A</v>
      </c>
      <c r="D113" s="151">
        <f>MIN(0.95, MAX(0.104,EXP(15175*(('III. INPUT-Baseline'!$C$39+273)-303.16)/(1.987*('III. INPUT-Baseline'!$C$39+273)*303.16))))</f>
        <v>0.104</v>
      </c>
      <c r="E113" s="366">
        <f t="shared" si="20"/>
        <v>0</v>
      </c>
      <c r="F113" s="158" t="e">
        <f>(E113*'III. INPUT-Baseline'!E77*'III. INPUT-Baseline'!$E$165*C113*0.8)+G113</f>
        <v>#N/A</v>
      </c>
      <c r="G113" s="593" t="e">
        <f>IF('III. INPUT-Baseline'!$I$39=TRUE,0,IF('III. INPUT-Baseline'!$E$142=B112,0,IF('III. INPUT-Baseline'!$F$142=B112,0,IF('III. INPUT-Baseline'!$G$142=B112,0,IF('III. INPUT-Baseline'!$C$142="Yes",0,(F112-H112))))))</f>
        <v>#N/A</v>
      </c>
      <c r="H113" s="158" t="e">
        <f t="shared" si="22"/>
        <v>#N/A</v>
      </c>
      <c r="I113" s="618">
        <f>IF('III. INPUT-Baseline'!D39=0,0,(H113*'III. INPUT-Baseline'!$C$113*0.68*0.001)*(('III. INPUT-Baseline'!G39-'III. INPUT-Baseline'!H39)/'III. INPUT-Baseline'!E39))</f>
        <v>0</v>
      </c>
      <c r="J113" s="158">
        <f t="shared" si="21"/>
        <v>0</v>
      </c>
    </row>
    <row r="114" spans="1:94" x14ac:dyDescent="0.25">
      <c r="B114" s="556" t="str">
        <f>'III. INPUT-Baseline'!$B$40</f>
        <v>-</v>
      </c>
      <c r="C114" s="594" t="e">
        <f>$C$27</f>
        <v>#N/A</v>
      </c>
      <c r="D114" s="151">
        <f>MIN(0.95, MAX(0.104,EXP(15175*(('III. INPUT-Baseline'!$C$40+273)-303.16)/(1.987*('III. INPUT-Baseline'!$C$40+273)*303.16))))</f>
        <v>0.104</v>
      </c>
      <c r="E114" s="366">
        <f t="shared" si="20"/>
        <v>0</v>
      </c>
      <c r="F114" s="158" t="e">
        <f>(E114*'III. INPUT-Baseline'!E78*'III. INPUT-Baseline'!$E$165*C114*0.8)+G114</f>
        <v>#N/A</v>
      </c>
      <c r="G114" s="593" t="e">
        <f>IF('III. INPUT-Baseline'!$I$40=TRUE,0,IF('III. INPUT-Baseline'!$E$142=B113,0,IF('III. INPUT-Baseline'!$F$142=B113,0,IF('III. INPUT-Baseline'!$G$142=B113,0,IF('III. INPUT-Baseline'!$C$142="Yes",0,(F113-H113))))))</f>
        <v>#N/A</v>
      </c>
      <c r="H114" s="158" t="e">
        <f t="shared" si="22"/>
        <v>#N/A</v>
      </c>
      <c r="I114" s="618">
        <f>IF('III. INPUT-Baseline'!D40=0,0,(H114*'III. INPUT-Baseline'!$C$113*0.68*0.001)*(('III. INPUT-Baseline'!G40-'III. INPUT-Baseline'!H40)/'III. INPUT-Baseline'!E40))</f>
        <v>0</v>
      </c>
      <c r="J114" s="158">
        <f t="shared" si="21"/>
        <v>0</v>
      </c>
    </row>
    <row r="115" spans="1:94" x14ac:dyDescent="0.25">
      <c r="B115" s="556" t="str">
        <f>'III. INPUT-Baseline'!$B$41</f>
        <v>-</v>
      </c>
      <c r="C115" s="594" t="e">
        <f>$C$28</f>
        <v>#N/A</v>
      </c>
      <c r="D115" s="151">
        <f>MIN(0.95, MAX(0.104,EXP(15175*(('III. INPUT-Baseline'!$C$41+273)-303.16)/(1.987*('III. INPUT-Baseline'!$C$41+273)*303.16))))</f>
        <v>0.104</v>
      </c>
      <c r="E115" s="366">
        <f t="shared" si="20"/>
        <v>0</v>
      </c>
      <c r="F115" s="158" t="e">
        <f>(E115*'III. INPUT-Baseline'!E79*'III. INPUT-Baseline'!$E$165*C115*0.8)+G115</f>
        <v>#N/A</v>
      </c>
      <c r="G115" s="593" t="e">
        <f>IF('III. INPUT-Baseline'!$I$41=TRUE,0,IF('III. INPUT-Baseline'!$E$142=B114,0,IF('III. INPUT-Baseline'!$F$142=B114,0,IF('III. INPUT-Baseline'!$G$142=B114,0,IF('III. INPUT-Baseline'!$C$142="Yes",0,(F114-H114))))))</f>
        <v>#N/A</v>
      </c>
      <c r="H115" s="158" t="e">
        <f t="shared" si="22"/>
        <v>#N/A</v>
      </c>
      <c r="I115" s="618">
        <f>IF('III. INPUT-Baseline'!D41=0,0,(H115*'III. INPUT-Baseline'!$C$113*0.68*0.001)*(('III. INPUT-Baseline'!G41-'III. INPUT-Baseline'!H41)/'III. INPUT-Baseline'!E41))</f>
        <v>0</v>
      </c>
      <c r="J115" s="158">
        <f t="shared" si="21"/>
        <v>0</v>
      </c>
    </row>
    <row r="116" spans="1:94" x14ac:dyDescent="0.25">
      <c r="B116" s="556" t="str">
        <f>'III. INPUT-Baseline'!$B$42</f>
        <v>-</v>
      </c>
      <c r="C116" s="594" t="e">
        <f>$C$29</f>
        <v>#N/A</v>
      </c>
      <c r="D116" s="151">
        <f>MIN(0.95, MAX(0.104,EXP(15175*(('III. INPUT-Baseline'!$C$42+273)-303.16)/(1.987*('III. INPUT-Baseline'!$C$42+273)*303.16))))</f>
        <v>0.104</v>
      </c>
      <c r="E116" s="366">
        <f t="shared" si="20"/>
        <v>0</v>
      </c>
      <c r="F116" s="158" t="e">
        <f>(E116*'III. INPUT-Baseline'!E80*'III. INPUT-Baseline'!$E$165*C116*0.8)+G116</f>
        <v>#N/A</v>
      </c>
      <c r="G116" s="593" t="e">
        <f>IF('III. INPUT-Baseline'!$I$42=TRUE,0,IF('III. INPUT-Baseline'!$E$142=B115,0,IF('III. INPUT-Baseline'!$F$142=B115,0,IF('III. INPUT-Baseline'!$G$142=B115,0,IF('III. INPUT-Baseline'!$C$142="Yes",0,(F115-H115))))))</f>
        <v>#N/A</v>
      </c>
      <c r="H116" s="158" t="e">
        <f t="shared" si="22"/>
        <v>#N/A</v>
      </c>
      <c r="I116" s="618">
        <f>IF('III. INPUT-Baseline'!D42=0,0,(H116*'III. INPUT-Baseline'!$C$113*0.68*0.001)*(('III. INPUT-Baseline'!G42-'III. INPUT-Baseline'!H42)/'III. INPUT-Baseline'!E42))</f>
        <v>0</v>
      </c>
      <c r="J116" s="158">
        <f t="shared" si="21"/>
        <v>0</v>
      </c>
    </row>
    <row r="117" spans="1:94" s="3" customFormat="1" ht="13" x14ac:dyDescent="0.3">
      <c r="B117" s="556" t="str">
        <f>'III. INPUT-Baseline'!$B$43</f>
        <v>-</v>
      </c>
      <c r="C117" s="594" t="e">
        <f>$C$30</f>
        <v>#N/A</v>
      </c>
      <c r="D117" s="151">
        <f>MIN(0.95, MAX(0.104,EXP(15175*(('III. INPUT-Baseline'!$C$43+273)-303.16)/(1.987*('III. INPUT-Baseline'!$C$43+273)*303.16))))</f>
        <v>0.104</v>
      </c>
      <c r="E117" s="366">
        <f t="shared" si="20"/>
        <v>0</v>
      </c>
      <c r="F117" s="158" t="e">
        <f>(E117*'III. INPUT-Baseline'!E81*'III. INPUT-Baseline'!$E$165*C117*0.8)+G117</f>
        <v>#N/A</v>
      </c>
      <c r="G117" s="593" t="e">
        <f>IF('III. INPUT-Baseline'!$I$43=TRUE,0,IF('III. INPUT-Baseline'!$E$142=B116,0,IF('III. INPUT-Baseline'!$F$142=B116,0,IF('III. INPUT-Baseline'!$G$142=B116,0,IF('III. INPUT-Baseline'!$C$142="Yes",0,(F116-H116))))))</f>
        <v>#N/A</v>
      </c>
      <c r="H117" s="158" t="e">
        <f t="shared" si="22"/>
        <v>#N/A</v>
      </c>
      <c r="I117" s="618">
        <f>IF('III. INPUT-Baseline'!D43=0,0,(H117*'III. INPUT-Baseline'!$C$113*0.68*0.001)*(('III. INPUT-Baseline'!G43-'III. INPUT-Baseline'!H43)/'III. INPUT-Baseline'!E43))</f>
        <v>0</v>
      </c>
      <c r="J117" s="158">
        <f t="shared" si="21"/>
        <v>0</v>
      </c>
      <c r="K117" s="153"/>
      <c r="L117" s="153"/>
      <c r="M117" s="154"/>
      <c r="N117" s="154"/>
      <c r="O117" s="4"/>
      <c r="Q117" s="153"/>
    </row>
    <row r="118" spans="1:94" x14ac:dyDescent="0.25">
      <c r="B118" s="556" t="str">
        <f>'III. INPUT-Baseline'!$B$44</f>
        <v>-</v>
      </c>
      <c r="C118" s="594" t="e">
        <f>$C$31</f>
        <v>#N/A</v>
      </c>
      <c r="D118" s="151">
        <f>MIN(0.95, MAX(0.104,EXP(15175*(('III. INPUT-Baseline'!$C$44+273)-303.16)/(1.987*('III. INPUT-Baseline'!$C$44+273)*303.16))))</f>
        <v>0.104</v>
      </c>
      <c r="E118" s="366">
        <f t="shared" si="20"/>
        <v>0</v>
      </c>
      <c r="F118" s="158" t="e">
        <f>(E118*'III. INPUT-Baseline'!E82*'III. INPUT-Baseline'!$E$165*C118*0.8)+G118</f>
        <v>#N/A</v>
      </c>
      <c r="G118" s="593" t="e">
        <f>IF('III. INPUT-Baseline'!$I$44=TRUE,0,IF('III. INPUT-Baseline'!$E$142=B117,0,IF('III. INPUT-Baseline'!$F$142=B117,0,IF('III. INPUT-Baseline'!$G$142=B117,0,IF('III. INPUT-Baseline'!$C$142="Yes",0,(F117-H117))))))</f>
        <v>#N/A</v>
      </c>
      <c r="H118" s="158" t="e">
        <f t="shared" si="22"/>
        <v>#N/A</v>
      </c>
      <c r="I118" s="618">
        <f>IF('III. INPUT-Baseline'!D44=0,0,(H118*'III. INPUT-Baseline'!$C$113*0.68*0.001)*(('III. INPUT-Baseline'!G44-'III. INPUT-Baseline'!H44)/'III. INPUT-Baseline'!E44))</f>
        <v>0</v>
      </c>
      <c r="J118" s="158">
        <f t="shared" si="21"/>
        <v>0</v>
      </c>
      <c r="K118" s="94"/>
      <c r="L118" s="94"/>
      <c r="M118" s="94"/>
      <c r="N118" s="156"/>
      <c r="O118" s="94"/>
      <c r="P118" s="156"/>
      <c r="Q118" s="156"/>
    </row>
    <row r="119" spans="1:94" s="3" customFormat="1" ht="13" x14ac:dyDescent="0.3">
      <c r="B119" s="556" t="str">
        <f>'III. INPUT-Baseline'!$B$45</f>
        <v>-</v>
      </c>
      <c r="C119" s="594" t="e">
        <f>$C$32</f>
        <v>#N/A</v>
      </c>
      <c r="D119" s="151">
        <f>MIN(0.95, MAX(0.104,EXP(15175*(('III. INPUT-Baseline'!$C$45+273)-303.16)/(1.987*('III. INPUT-Baseline'!$C$45+273)*303.16))))</f>
        <v>0.104</v>
      </c>
      <c r="E119" s="366">
        <f t="shared" si="20"/>
        <v>0</v>
      </c>
      <c r="F119" s="158" t="e">
        <f>(E119*'III. INPUT-Baseline'!E83*'III. INPUT-Baseline'!$E$165*C119*0.8)+G119</f>
        <v>#N/A</v>
      </c>
      <c r="G119" s="593" t="e">
        <f>IF('III. INPUT-Baseline'!$I$45=TRUE,0,IF('III. INPUT-Baseline'!$E$142=B118,0,IF('III. INPUT-Baseline'!$F$142=B118,0,IF('III. INPUT-Baseline'!$G$142=B118,0,IF('III. INPUT-Baseline'!$C$142="Yes",0,(F118-H118))))))</f>
        <v>#N/A</v>
      </c>
      <c r="H119" s="158" t="e">
        <f t="shared" si="22"/>
        <v>#N/A</v>
      </c>
      <c r="I119" s="618">
        <f>IF('III. INPUT-Baseline'!D45=0,0,(H119*'III. INPUT-Baseline'!$C$113*0.68*0.001)*(('III. INPUT-Baseline'!G45-'III. INPUT-Baseline'!H45)/'III. INPUT-Baseline'!E45))</f>
        <v>0</v>
      </c>
      <c r="J119" s="158">
        <f t="shared" si="21"/>
        <v>0</v>
      </c>
      <c r="K119" s="4"/>
      <c r="L119" s="4"/>
      <c r="M119" s="4"/>
      <c r="O119" s="4"/>
    </row>
    <row r="120" spans="1:94" ht="13" x14ac:dyDescent="0.3">
      <c r="B120" s="556" t="str">
        <f>'III. INPUT-Baseline'!$B$46</f>
        <v>-</v>
      </c>
      <c r="C120" s="594" t="e">
        <f>$C$33</f>
        <v>#N/A</v>
      </c>
      <c r="D120" s="151">
        <f>MIN(0.95, MAX(0.104,EXP(15175*(('III. INPUT-Baseline'!$C$46+273)-303.16)/(1.987*('III. INPUT-Baseline'!$C$46+273)*303.16))))</f>
        <v>0.104</v>
      </c>
      <c r="E120" s="366">
        <f t="shared" si="20"/>
        <v>0</v>
      </c>
      <c r="F120" s="158" t="e">
        <f>(E120*'III. INPUT-Baseline'!E84*'III. INPUT-Baseline'!$E$165*C120*0.8)+G120</f>
        <v>#N/A</v>
      </c>
      <c r="G120" s="593" t="e">
        <f>IF('III. INPUT-Baseline'!$I$46=TRUE,0,IF('III. INPUT-Baseline'!$E$142=B119,0,IF('III. INPUT-Baseline'!$F$142=B119,0,IF('III. INPUT-Baseline'!$G$142=B119,0,IF('III. INPUT-Baseline'!$C$142="Yes",0,(F119-H119))))))</f>
        <v>#N/A</v>
      </c>
      <c r="H120" s="158" t="e">
        <f t="shared" si="22"/>
        <v>#N/A</v>
      </c>
      <c r="I120" s="618">
        <f>IF('III. INPUT-Baseline'!D46=0,0,(H120*'III. INPUT-Baseline'!$C$113*0.68*0.001)*(('III. INPUT-Baseline'!G46-'III. INPUT-Baseline'!H46)/'III. INPUT-Baseline'!E46))</f>
        <v>0</v>
      </c>
      <c r="J120" s="158">
        <f t="shared" si="21"/>
        <v>0</v>
      </c>
      <c r="K120" s="4"/>
      <c r="L120" s="4"/>
      <c r="M120" s="4"/>
      <c r="O120" s="49"/>
    </row>
    <row r="121" spans="1:94" ht="13" x14ac:dyDescent="0.3">
      <c r="B121" s="609" t="str">
        <f>'III. INPUT-Baseline'!$B$47</f>
        <v>-</v>
      </c>
      <c r="C121" s="594" t="e">
        <f>$C$34</f>
        <v>#N/A</v>
      </c>
      <c r="D121" s="151">
        <f>MIN(0.95, MAX(0.104,EXP(15175*(('III. INPUT-Baseline'!$C$47+273)-303.16)/(1.987*('III. INPUT-Baseline'!$C$47+273)*303.16))))</f>
        <v>0.104</v>
      </c>
      <c r="E121" s="611">
        <f t="shared" si="20"/>
        <v>0</v>
      </c>
      <c r="F121" s="610" t="e">
        <f>(E121*'III. INPUT-Baseline'!E85*'III. INPUT-Baseline'!$E$165*C121*0.8)+G121</f>
        <v>#N/A</v>
      </c>
      <c r="G121" s="612" t="e">
        <f>IF('III. INPUT-Baseline'!$I$46=TRUE,0,IF('III. INPUT-Baseline'!$E$142=B120,0,IF('III. INPUT-Baseline'!$F$142=B120,0,IF('III. INPUT-Baseline'!$G$142=B120,0,IF('III. INPUT-Baseline'!$C$142="Yes",0,(F120-H120))))))</f>
        <v>#N/A</v>
      </c>
      <c r="H121" s="610" t="e">
        <f t="shared" ref="H121" si="23">F121*D121</f>
        <v>#N/A</v>
      </c>
      <c r="I121" s="618">
        <f>IF('III. INPUT-Baseline'!D47=0,0,(H121*'III. INPUT-Baseline'!$C$113*0.68*0.001)*(('III. INPUT-Baseline'!G47-'III. INPUT-Baseline'!H47)/'III. INPUT-Baseline'!E47))</f>
        <v>0</v>
      </c>
      <c r="J121" s="610">
        <f t="shared" ref="J121" si="24">I121*gwp_ch4</f>
        <v>0</v>
      </c>
      <c r="K121" s="4"/>
      <c r="L121" s="4"/>
      <c r="M121" s="4"/>
      <c r="O121" s="49"/>
    </row>
    <row r="122" spans="1:94" ht="13" x14ac:dyDescent="0.3">
      <c r="B122" s="596" t="s">
        <v>432</v>
      </c>
      <c r="C122" s="613"/>
      <c r="D122" s="598"/>
      <c r="E122" s="598"/>
      <c r="F122" s="614"/>
      <c r="G122" s="615"/>
      <c r="H122" s="605" t="e">
        <f>SUM(H109:H121)</f>
        <v>#N/A</v>
      </c>
      <c r="I122" s="605">
        <f t="shared" ref="I122:J122" si="25">SUM(I109:I121)</f>
        <v>0</v>
      </c>
      <c r="J122" s="605">
        <f t="shared" si="25"/>
        <v>0</v>
      </c>
      <c r="K122" s="4"/>
      <c r="L122" s="4"/>
      <c r="M122" s="4"/>
      <c r="O122" s="49"/>
    </row>
    <row r="123" spans="1:94" ht="13" x14ac:dyDescent="0.3">
      <c r="B123" s="3"/>
      <c r="C123" s="3"/>
      <c r="D123" s="60"/>
      <c r="E123" s="60"/>
      <c r="F123" s="61"/>
      <c r="G123" s="61"/>
      <c r="H123" s="61"/>
      <c r="I123" s="61"/>
      <c r="J123" s="61"/>
    </row>
    <row r="124" spans="1:94" s="64" customFormat="1" ht="13" x14ac:dyDescent="0.3">
      <c r="A124" s="11"/>
      <c r="B124" s="3"/>
      <c r="C124" s="49"/>
      <c r="D124" s="39"/>
      <c r="E124" s="656" t="s">
        <v>241</v>
      </c>
      <c r="F124" s="675"/>
      <c r="G124" s="675"/>
      <c r="H124" s="675"/>
      <c r="I124" s="675"/>
      <c r="J124" s="676"/>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1"/>
      <c r="BF124" s="11"/>
      <c r="BG124" s="11"/>
      <c r="BH124" s="11"/>
      <c r="BI124" s="11"/>
      <c r="BJ124" s="11"/>
      <c r="BK124" s="11"/>
      <c r="BL124" s="11"/>
      <c r="BM124" s="11"/>
      <c r="BN124" s="11"/>
      <c r="BO124" s="11"/>
      <c r="BP124" s="11"/>
      <c r="BQ124" s="11"/>
      <c r="BR124" s="11"/>
      <c r="BS124" s="11"/>
      <c r="BT124" s="11"/>
      <c r="BU124" s="11"/>
      <c r="BV124" s="11"/>
      <c r="BW124" s="11"/>
      <c r="BX124" s="11"/>
      <c r="BY124" s="11"/>
      <c r="BZ124" s="11"/>
      <c r="CA124" s="11"/>
      <c r="CB124" s="11"/>
      <c r="CC124" s="11"/>
      <c r="CD124" s="11"/>
      <c r="CE124" s="11"/>
      <c r="CF124" s="11"/>
      <c r="CG124" s="11"/>
      <c r="CH124" s="11"/>
      <c r="CI124" s="11"/>
      <c r="CJ124" s="11"/>
      <c r="CK124" s="11"/>
      <c r="CL124" s="11"/>
      <c r="CM124" s="11"/>
      <c r="CN124" s="11"/>
      <c r="CO124" s="11"/>
      <c r="CP124" s="11"/>
    </row>
    <row r="125" spans="1:94" s="64" customFormat="1" ht="13" x14ac:dyDescent="0.3">
      <c r="A125" s="11"/>
      <c r="B125" s="3"/>
      <c r="C125" s="49"/>
      <c r="D125" s="39"/>
      <c r="E125" s="677"/>
      <c r="F125" s="678"/>
      <c r="G125" s="678"/>
      <c r="H125" s="678"/>
      <c r="I125" s="678"/>
      <c r="J125" s="679"/>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1"/>
      <c r="BF125" s="11"/>
      <c r="BG125" s="11"/>
      <c r="BH125" s="11"/>
      <c r="BI125" s="11"/>
      <c r="BJ125" s="11"/>
      <c r="BK125" s="11"/>
      <c r="BL125" s="11"/>
      <c r="BM125" s="11"/>
      <c r="BN125" s="11"/>
      <c r="BO125" s="11"/>
      <c r="BP125" s="11"/>
      <c r="BQ125" s="11"/>
      <c r="BR125" s="11"/>
      <c r="BS125" s="11"/>
      <c r="BT125" s="11"/>
      <c r="BU125" s="11"/>
      <c r="BV125" s="11"/>
      <c r="BW125" s="11"/>
      <c r="BX125" s="11"/>
      <c r="BY125" s="11"/>
      <c r="BZ125" s="11"/>
      <c r="CA125" s="11"/>
      <c r="CB125" s="11"/>
      <c r="CC125" s="11"/>
      <c r="CD125" s="11"/>
      <c r="CE125" s="11"/>
      <c r="CF125" s="11"/>
      <c r="CG125" s="11"/>
      <c r="CH125" s="11"/>
      <c r="CI125" s="11"/>
      <c r="CJ125" s="11"/>
      <c r="CK125" s="11"/>
      <c r="CL125" s="11"/>
      <c r="CM125" s="11"/>
      <c r="CN125" s="11"/>
      <c r="CO125" s="11"/>
      <c r="CP125" s="11"/>
    </row>
    <row r="126" spans="1:94" ht="13" x14ac:dyDescent="0.3">
      <c r="B126" s="585">
        <f>B105</f>
        <v>0</v>
      </c>
      <c r="C126" s="585">
        <f>'III. INPUT-Baseline'!B126</f>
        <v>0</v>
      </c>
      <c r="D126" s="149"/>
      <c r="E126" s="680"/>
      <c r="F126" s="681"/>
      <c r="G126" s="681"/>
      <c r="H126" s="681"/>
      <c r="I126" s="681"/>
      <c r="J126" s="682"/>
    </row>
    <row r="127" spans="1:94" ht="15" x14ac:dyDescent="0.4">
      <c r="B127" s="546" t="s">
        <v>423</v>
      </c>
      <c r="C127" s="586">
        <f>C106</f>
        <v>0</v>
      </c>
      <c r="E127" s="61"/>
      <c r="F127" s="60"/>
      <c r="G127" s="60"/>
      <c r="H127" s="60"/>
      <c r="I127" s="60"/>
      <c r="J127" s="60"/>
    </row>
    <row r="128" spans="1:94" s="3" customFormat="1" ht="13" x14ac:dyDescent="0.3">
      <c r="B128" s="616"/>
      <c r="C128" s="617"/>
      <c r="D128" s="39"/>
      <c r="E128" s="61"/>
      <c r="F128" s="60"/>
      <c r="G128" s="60"/>
      <c r="H128" s="60"/>
      <c r="I128" s="60"/>
      <c r="J128" s="60"/>
      <c r="K128" s="153"/>
      <c r="L128" s="153"/>
      <c r="M128" s="154"/>
      <c r="N128" s="154"/>
      <c r="O128" s="4"/>
      <c r="Q128" s="153"/>
    </row>
    <row r="129" spans="2:17" ht="29" x14ac:dyDescent="0.4">
      <c r="B129" s="136" t="s">
        <v>246</v>
      </c>
      <c r="C129" s="136" t="s">
        <v>424</v>
      </c>
      <c r="D129" s="606" t="s">
        <v>425</v>
      </c>
      <c r="E129" s="590" t="s">
        <v>426</v>
      </c>
      <c r="F129" s="591" t="s">
        <v>427</v>
      </c>
      <c r="G129" s="590" t="s">
        <v>428</v>
      </c>
      <c r="H129" s="591" t="s">
        <v>429</v>
      </c>
      <c r="I129" s="591" t="s">
        <v>430</v>
      </c>
      <c r="J129" s="591" t="s">
        <v>431</v>
      </c>
      <c r="K129" s="34"/>
      <c r="L129" s="34"/>
      <c r="M129" s="34"/>
    </row>
    <row r="130" spans="2:17" x14ac:dyDescent="0.25">
      <c r="B130" s="556" t="str">
        <f>'III. INPUT-Baseline'!$B$35</f>
        <v>-</v>
      </c>
      <c r="C130" s="594" t="e">
        <f>$C$22</f>
        <v>#N/A</v>
      </c>
      <c r="D130" s="151">
        <f>MIN(0.95, MAX(0.104,EXP(15175*(('III. INPUT-Baseline'!$C$35+273)-303.16)/(1.987*('III. INPUT-Baseline'!$C$35+273)*303.16))))</f>
        <v>0.104</v>
      </c>
      <c r="E130" s="366">
        <f t="shared" ref="E130:E142" si="26">$C$127</f>
        <v>0</v>
      </c>
      <c r="F130" s="158" t="e">
        <f>(E130*'III. INPUT-Baseline'!E73*'III. INPUT-Baseline'!$E$166*C130*0.8)+G130</f>
        <v>#N/A</v>
      </c>
      <c r="G130" s="592">
        <v>0</v>
      </c>
      <c r="H130" s="158" t="e">
        <f>F130*D130</f>
        <v>#N/A</v>
      </c>
      <c r="I130" s="618">
        <f>IF('III. INPUT-Baseline'!D35=0,0,(H130*'III. INPUT-Baseline'!$C$113*0.68*0.001)*(('III. INPUT-Baseline'!G35-'III. INPUT-Baseline'!H35)/'III. INPUT-Baseline'!E35))</f>
        <v>0</v>
      </c>
      <c r="J130" s="158">
        <f t="shared" ref="J130:J141" si="27">I130*gwp_ch4</f>
        <v>0</v>
      </c>
    </row>
    <row r="131" spans="2:17" x14ac:dyDescent="0.25">
      <c r="B131" s="556" t="str">
        <f>'III. INPUT-Baseline'!$B$36</f>
        <v>-</v>
      </c>
      <c r="C131" s="594" t="e">
        <f>$C$23</f>
        <v>#N/A</v>
      </c>
      <c r="D131" s="151">
        <f>MIN(0.95, MAX(0.104,EXP(15175*(('III. INPUT-Baseline'!$C$36+273)-303.16)/(1.987*('III. INPUT-Baseline'!$C$36+273)*303.16))))</f>
        <v>0.104</v>
      </c>
      <c r="E131" s="366">
        <f t="shared" si="26"/>
        <v>0</v>
      </c>
      <c r="F131" s="158" t="e">
        <f>(E131*'III. INPUT-Baseline'!E74*'III. INPUT-Baseline'!$E$166*C131*0.8)+G131</f>
        <v>#N/A</v>
      </c>
      <c r="G131" s="593">
        <f>IF('III. INPUT-Baseline'!$I36=TRUE,0,IF('III. INPUT-Baseline'!$E$143=B130,0,IF('III. INPUT-Baseline'!$F$143=B130,0,IF('III. INPUT-Baseline'!$G$143=B130,0,IF('III. INPUT-Baseline'!$C$143="Yes",0,(F130-H130))))))</f>
        <v>0</v>
      </c>
      <c r="H131" s="158" t="e">
        <f t="shared" ref="H131:H141" si="28">F131*D131</f>
        <v>#N/A</v>
      </c>
      <c r="I131" s="618">
        <f>IF('III. INPUT-Baseline'!D36=0,0,(H131*'III. INPUT-Baseline'!$C$113*0.68*0.001)*(('III. INPUT-Baseline'!G36-'III. INPUT-Baseline'!H36)/'III. INPUT-Baseline'!E36))</f>
        <v>0</v>
      </c>
      <c r="J131" s="158">
        <f t="shared" si="27"/>
        <v>0</v>
      </c>
    </row>
    <row r="132" spans="2:17" x14ac:dyDescent="0.25">
      <c r="B132" s="556" t="str">
        <f>'III. INPUT-Baseline'!$B$37</f>
        <v>-</v>
      </c>
      <c r="C132" s="594" t="e">
        <f>$C$24</f>
        <v>#N/A</v>
      </c>
      <c r="D132" s="151">
        <f>MIN(0.95, MAX(0.104,EXP(15175*(('III. INPUT-Baseline'!$C$37+273)-303.16)/(1.987*('III. INPUT-Baseline'!$C$37+273)*303.16))))</f>
        <v>0.104</v>
      </c>
      <c r="E132" s="366">
        <f t="shared" si="26"/>
        <v>0</v>
      </c>
      <c r="F132" s="158" t="e">
        <f>(E132*'III. INPUT-Baseline'!E75*'III. INPUT-Baseline'!$E$166*C132*0.8)+G132</f>
        <v>#N/A</v>
      </c>
      <c r="G132" s="593">
        <f>IF('III. INPUT-Baseline'!$I37=TRUE,0,IF('III. INPUT-Baseline'!$E$143=B131,0,IF('III. INPUT-Baseline'!$F$143=B131,0,IF('III. INPUT-Baseline'!$G$143=B131,0,IF('III. INPUT-Baseline'!$C$143="Yes",0,(F131-H131))))))</f>
        <v>0</v>
      </c>
      <c r="H132" s="158" t="e">
        <f t="shared" si="28"/>
        <v>#N/A</v>
      </c>
      <c r="I132" s="618">
        <f>IF('III. INPUT-Baseline'!D37=0,0,(H132*'III. INPUT-Baseline'!$C$113*0.68*0.001)*(('III. INPUT-Baseline'!G37-'III. INPUT-Baseline'!H37)/'III. INPUT-Baseline'!E37))</f>
        <v>0</v>
      </c>
      <c r="J132" s="158">
        <f t="shared" si="27"/>
        <v>0</v>
      </c>
    </row>
    <row r="133" spans="2:17" x14ac:dyDescent="0.25">
      <c r="B133" s="556" t="str">
        <f>'III. INPUT-Baseline'!$B$38</f>
        <v>-</v>
      </c>
      <c r="C133" s="594" t="e">
        <f>$C$25</f>
        <v>#N/A</v>
      </c>
      <c r="D133" s="151">
        <f>MIN(0.95, MAX(0.104,EXP(15175*(('III. INPUT-Baseline'!$C$38+273)-303.16)/(1.987*('III. INPUT-Baseline'!$C$38+273)*303.16))))</f>
        <v>0.104</v>
      </c>
      <c r="E133" s="366">
        <f t="shared" si="26"/>
        <v>0</v>
      </c>
      <c r="F133" s="158" t="e">
        <f>(E133*'III. INPUT-Baseline'!E76*'III. INPUT-Baseline'!$E$166*C133*0.8)+G133</f>
        <v>#N/A</v>
      </c>
      <c r="G133" s="593">
        <f>IF('III. INPUT-Baseline'!$I38=TRUE,0,IF('III. INPUT-Baseline'!$E$143=B132,0,IF('III. INPUT-Baseline'!$F$143=B132,0,IF('III. INPUT-Baseline'!$G$143=B132,0,IF('III. INPUT-Baseline'!$C$143="Yes",0,(F132-H132))))))</f>
        <v>0</v>
      </c>
      <c r="H133" s="158" t="e">
        <f t="shared" si="28"/>
        <v>#N/A</v>
      </c>
      <c r="I133" s="618">
        <f>IF('III. INPUT-Baseline'!D38=0,0,(H133*'III. INPUT-Baseline'!$C$113*0.68*0.001)*(('III. INPUT-Baseline'!G38-'III. INPUT-Baseline'!H38)/'III. INPUT-Baseline'!E38))</f>
        <v>0</v>
      </c>
      <c r="J133" s="158">
        <f t="shared" si="27"/>
        <v>0</v>
      </c>
    </row>
    <row r="134" spans="2:17" x14ac:dyDescent="0.25">
      <c r="B134" s="556" t="str">
        <f>'III. INPUT-Baseline'!$B$39</f>
        <v>-</v>
      </c>
      <c r="C134" s="594" t="e">
        <f>$C$26</f>
        <v>#N/A</v>
      </c>
      <c r="D134" s="151">
        <f>MIN(0.95, MAX(0.104,EXP(15175*(('III. INPUT-Baseline'!$C$39+273)-303.16)/(1.987*('III. INPUT-Baseline'!$C$39+273)*303.16))))</f>
        <v>0.104</v>
      </c>
      <c r="E134" s="366">
        <f t="shared" si="26"/>
        <v>0</v>
      </c>
      <c r="F134" s="158" t="e">
        <f>(E134*'III. INPUT-Baseline'!E77*'III. INPUT-Baseline'!$E$166*C134*0.8)+G134</f>
        <v>#N/A</v>
      </c>
      <c r="G134" s="593">
        <f>IF('III. INPUT-Baseline'!$I39=TRUE,0,IF('III. INPUT-Baseline'!$E$143=B133,0,IF('III. INPUT-Baseline'!$F$143=B133,0,IF('III. INPUT-Baseline'!$G$143=B133,0,IF('III. INPUT-Baseline'!$C$143="Yes",0,(F133-H133))))))</f>
        <v>0</v>
      </c>
      <c r="H134" s="158" t="e">
        <f t="shared" si="28"/>
        <v>#N/A</v>
      </c>
      <c r="I134" s="618">
        <f>IF('III. INPUT-Baseline'!D39=0,0,(H134*'III. INPUT-Baseline'!$C$113*0.68*0.001)*(('III. INPUT-Baseline'!G39-'III. INPUT-Baseline'!H39)/'III. INPUT-Baseline'!E39))</f>
        <v>0</v>
      </c>
      <c r="J134" s="158">
        <f t="shared" si="27"/>
        <v>0</v>
      </c>
    </row>
    <row r="135" spans="2:17" x14ac:dyDescent="0.25">
      <c r="B135" s="556" t="str">
        <f>'III. INPUT-Baseline'!$B$40</f>
        <v>-</v>
      </c>
      <c r="C135" s="594" t="e">
        <f>$C$27</f>
        <v>#N/A</v>
      </c>
      <c r="D135" s="151">
        <f>MIN(0.95, MAX(0.104,EXP(15175*(('III. INPUT-Baseline'!$C$40+273)-303.16)/(1.987*('III. INPUT-Baseline'!$C$40+273)*303.16))))</f>
        <v>0.104</v>
      </c>
      <c r="E135" s="366">
        <f t="shared" si="26"/>
        <v>0</v>
      </c>
      <c r="F135" s="158" t="e">
        <f>(E135*'III. INPUT-Baseline'!E78*'III. INPUT-Baseline'!$E$166*C135*0.8)+G135</f>
        <v>#N/A</v>
      </c>
      <c r="G135" s="593">
        <f>IF('III. INPUT-Baseline'!$I40=TRUE,0,IF('III. INPUT-Baseline'!$E$143=B134,0,IF('III. INPUT-Baseline'!$F$143=B134,0,IF('III. INPUT-Baseline'!$G$143=B134,0,IF('III. INPUT-Baseline'!$C$143="Yes",0,(F134-H134))))))</f>
        <v>0</v>
      </c>
      <c r="H135" s="158" t="e">
        <f t="shared" si="28"/>
        <v>#N/A</v>
      </c>
      <c r="I135" s="618">
        <f>IF('III. INPUT-Baseline'!D40=0,0,(H135*'III. INPUT-Baseline'!$C$113*0.68*0.001)*(('III. INPUT-Baseline'!G40-'III. INPUT-Baseline'!H40)/'III. INPUT-Baseline'!E40))</f>
        <v>0</v>
      </c>
      <c r="J135" s="158">
        <f t="shared" si="27"/>
        <v>0</v>
      </c>
    </row>
    <row r="136" spans="2:17" x14ac:dyDescent="0.25">
      <c r="B136" s="556" t="str">
        <f>'III. INPUT-Baseline'!$B$41</f>
        <v>-</v>
      </c>
      <c r="C136" s="594" t="e">
        <f>$C$28</f>
        <v>#N/A</v>
      </c>
      <c r="D136" s="151">
        <f>MIN(0.95, MAX(0.104,EXP(15175*(('III. INPUT-Baseline'!$C$41+273)-303.16)/(1.987*('III. INPUT-Baseline'!$C$41+273)*303.16))))</f>
        <v>0.104</v>
      </c>
      <c r="E136" s="366">
        <f t="shared" si="26"/>
        <v>0</v>
      </c>
      <c r="F136" s="158" t="e">
        <f>(E136*'III. INPUT-Baseline'!E79*'III. INPUT-Baseline'!$E$166*C136*0.8)+G136</f>
        <v>#N/A</v>
      </c>
      <c r="G136" s="593">
        <f>IF('III. INPUT-Baseline'!$I41=TRUE,0,IF('III. INPUT-Baseline'!$E$143=B135,0,IF('III. INPUT-Baseline'!$F$143=B135,0,IF('III. INPUT-Baseline'!$G$143=B135,0,IF('III. INPUT-Baseline'!$C$143="Yes",0,(F135-H135))))))</f>
        <v>0</v>
      </c>
      <c r="H136" s="158" t="e">
        <f t="shared" si="28"/>
        <v>#N/A</v>
      </c>
      <c r="I136" s="618">
        <f>IF('III. INPUT-Baseline'!D41=0,0,(H136*'III. INPUT-Baseline'!$C$113*0.68*0.001)*(('III. INPUT-Baseline'!G41-'III. INPUT-Baseline'!H41)/'III. INPUT-Baseline'!E41))</f>
        <v>0</v>
      </c>
      <c r="J136" s="158">
        <f t="shared" si="27"/>
        <v>0</v>
      </c>
    </row>
    <row r="137" spans="2:17" x14ac:dyDescent="0.25">
      <c r="B137" s="556" t="str">
        <f>'III. INPUT-Baseline'!$B$42</f>
        <v>-</v>
      </c>
      <c r="C137" s="594" t="e">
        <f>$C$29</f>
        <v>#N/A</v>
      </c>
      <c r="D137" s="151">
        <f>MIN(0.95, MAX(0.104,EXP(15175*(('III. INPUT-Baseline'!$C$42+273)-303.16)/(1.987*('III. INPUT-Baseline'!$C$42+273)*303.16))))</f>
        <v>0.104</v>
      </c>
      <c r="E137" s="366">
        <f t="shared" si="26"/>
        <v>0</v>
      </c>
      <c r="F137" s="158" t="e">
        <f>(E137*'III. INPUT-Baseline'!E80*'III. INPUT-Baseline'!$E$166*C137*0.8)+G137</f>
        <v>#N/A</v>
      </c>
      <c r="G137" s="593">
        <f>IF('III. INPUT-Baseline'!$I42=TRUE,0,IF('III. INPUT-Baseline'!$E$143=B136,0,IF('III. INPUT-Baseline'!$F$143=B136,0,IF('III. INPUT-Baseline'!$G$143=B136,0,IF('III. INPUT-Baseline'!$C$143="Yes",0,(F136-H136))))))</f>
        <v>0</v>
      </c>
      <c r="H137" s="158" t="e">
        <f t="shared" si="28"/>
        <v>#N/A</v>
      </c>
      <c r="I137" s="618">
        <f>IF('III. INPUT-Baseline'!D42=0,0,(H137*'III. INPUT-Baseline'!$C$113*0.68*0.001)*(('III. INPUT-Baseline'!G42-'III. INPUT-Baseline'!H42)/'III. INPUT-Baseline'!E42))</f>
        <v>0</v>
      </c>
      <c r="J137" s="158">
        <f t="shared" si="27"/>
        <v>0</v>
      </c>
    </row>
    <row r="138" spans="2:17" s="3" customFormat="1" ht="13" x14ac:dyDescent="0.3">
      <c r="B138" s="556" t="str">
        <f>'III. INPUT-Baseline'!$B$43</f>
        <v>-</v>
      </c>
      <c r="C138" s="594" t="e">
        <f>$C$30</f>
        <v>#N/A</v>
      </c>
      <c r="D138" s="151">
        <f>MIN(0.95, MAX(0.104,EXP(15175*(('III. INPUT-Baseline'!$C$43+273)-303.16)/(1.987*('III. INPUT-Baseline'!$C$43+273)*303.16))))</f>
        <v>0.104</v>
      </c>
      <c r="E138" s="366">
        <f t="shared" si="26"/>
        <v>0</v>
      </c>
      <c r="F138" s="158" t="e">
        <f>(E138*'III. INPUT-Baseline'!E81*'III. INPUT-Baseline'!$E$166*C138*0.8)+G138</f>
        <v>#N/A</v>
      </c>
      <c r="G138" s="593">
        <f>IF('III. INPUT-Baseline'!$I43=TRUE,0,IF('III. INPUT-Baseline'!$E$143=B137,0,IF('III. INPUT-Baseline'!$F$143=B137,0,IF('III. INPUT-Baseline'!$G$143=B137,0,IF('III. INPUT-Baseline'!$C$143="Yes",0,(F137-H137))))))</f>
        <v>0</v>
      </c>
      <c r="H138" s="158" t="e">
        <f t="shared" si="28"/>
        <v>#N/A</v>
      </c>
      <c r="I138" s="618">
        <f>IF('III. INPUT-Baseline'!D43=0,0,(H138*'III. INPUT-Baseline'!$C$113*0.68*0.001)*(('III. INPUT-Baseline'!G43-'III. INPUT-Baseline'!H43)/'III. INPUT-Baseline'!E43))</f>
        <v>0</v>
      </c>
      <c r="J138" s="158">
        <f t="shared" si="27"/>
        <v>0</v>
      </c>
      <c r="K138" s="153"/>
      <c r="L138" s="153"/>
      <c r="M138" s="154"/>
      <c r="N138" s="154"/>
      <c r="O138" s="4"/>
      <c r="Q138" s="153"/>
    </row>
    <row r="139" spans="2:17" x14ac:dyDescent="0.25">
      <c r="B139" s="556" t="str">
        <f>'III. INPUT-Baseline'!$B$44</f>
        <v>-</v>
      </c>
      <c r="C139" s="594" t="e">
        <f>$C$31</f>
        <v>#N/A</v>
      </c>
      <c r="D139" s="151">
        <f>MIN(0.95, MAX(0.104,EXP(15175*(('III. INPUT-Baseline'!$C$44+273)-303.16)/(1.987*('III. INPUT-Baseline'!$C$44+273)*303.16))))</f>
        <v>0.104</v>
      </c>
      <c r="E139" s="366">
        <f t="shared" si="26"/>
        <v>0</v>
      </c>
      <c r="F139" s="158" t="e">
        <f>(E139*'III. INPUT-Baseline'!E82*'III. INPUT-Baseline'!$E$166*C139*0.8)+G139</f>
        <v>#N/A</v>
      </c>
      <c r="G139" s="593">
        <f>IF('III. INPUT-Baseline'!$I44=TRUE,0,IF('III. INPUT-Baseline'!$E$143=B138,0,IF('III. INPUT-Baseline'!$F$143=B138,0,IF('III. INPUT-Baseline'!$G$143=B138,0,IF('III. INPUT-Baseline'!$C$143="Yes",0,(F138-H138))))))</f>
        <v>0</v>
      </c>
      <c r="H139" s="158" t="e">
        <f t="shared" si="28"/>
        <v>#N/A</v>
      </c>
      <c r="I139" s="618">
        <f>IF('III. INPUT-Baseline'!D44=0,0,(H139*'III. INPUT-Baseline'!$C$113*0.68*0.001)*(('III. INPUT-Baseline'!G44-'III. INPUT-Baseline'!H44)/'III. INPUT-Baseline'!E44))</f>
        <v>0</v>
      </c>
      <c r="J139" s="158">
        <f t="shared" si="27"/>
        <v>0</v>
      </c>
      <c r="K139" s="94"/>
      <c r="L139" s="94"/>
      <c r="M139" s="94"/>
      <c r="N139" s="156"/>
      <c r="O139" s="94"/>
      <c r="P139" s="156"/>
      <c r="Q139" s="156"/>
    </row>
    <row r="140" spans="2:17" s="3" customFormat="1" ht="13" x14ac:dyDescent="0.3">
      <c r="B140" s="556" t="str">
        <f>'III. INPUT-Baseline'!$B$45</f>
        <v>-</v>
      </c>
      <c r="C140" s="594" t="e">
        <f>$C$32</f>
        <v>#N/A</v>
      </c>
      <c r="D140" s="151">
        <f>MIN(0.95, MAX(0.104,EXP(15175*(('III. INPUT-Baseline'!$C$45+273)-303.16)/(1.987*('III. INPUT-Baseline'!$C$45+273)*303.16))))</f>
        <v>0.104</v>
      </c>
      <c r="E140" s="366">
        <f t="shared" si="26"/>
        <v>0</v>
      </c>
      <c r="F140" s="158" t="e">
        <f>(E140*'III. INPUT-Baseline'!E83*'III. INPUT-Baseline'!$E$166*C140*0.8)+G140</f>
        <v>#N/A</v>
      </c>
      <c r="G140" s="593">
        <f>IF('III. INPUT-Baseline'!$I45=TRUE,0,IF('III. INPUT-Baseline'!$E$143=B139,0,IF('III. INPUT-Baseline'!$F$143=B139,0,IF('III. INPUT-Baseline'!$G$143=B139,0,IF('III. INPUT-Baseline'!$C$143="Yes",0,(F139-H139))))))</f>
        <v>0</v>
      </c>
      <c r="H140" s="158" t="e">
        <f t="shared" si="28"/>
        <v>#N/A</v>
      </c>
      <c r="I140" s="618">
        <f>IF('III. INPUT-Baseline'!D45=0,0,(H140*'III. INPUT-Baseline'!$C$113*0.68*0.001)*(('III. INPUT-Baseline'!G45-'III. INPUT-Baseline'!H45)/'III. INPUT-Baseline'!E45))</f>
        <v>0</v>
      </c>
      <c r="J140" s="158">
        <f t="shared" si="27"/>
        <v>0</v>
      </c>
      <c r="K140" s="4"/>
      <c r="L140" s="4"/>
      <c r="M140" s="4"/>
      <c r="O140" s="4"/>
    </row>
    <row r="141" spans="2:17" ht="13" x14ac:dyDescent="0.3">
      <c r="B141" s="556" t="str">
        <f>'III. INPUT-Baseline'!$B$46</f>
        <v>-</v>
      </c>
      <c r="C141" s="594" t="e">
        <f>$C$33</f>
        <v>#N/A</v>
      </c>
      <c r="D141" s="151">
        <f>MIN(0.95, MAX(0.104,EXP(15175*(('III. INPUT-Baseline'!$C$46+273)-303.16)/(1.987*('III. INPUT-Baseline'!$C$46+273)*303.16))))</f>
        <v>0.104</v>
      </c>
      <c r="E141" s="366">
        <f t="shared" si="26"/>
        <v>0</v>
      </c>
      <c r="F141" s="158" t="e">
        <f>(E141*'III. INPUT-Baseline'!E84*'III. INPUT-Baseline'!$E$166*C141*0.8)+G141</f>
        <v>#N/A</v>
      </c>
      <c r="G141" s="593">
        <f>IF('III. INPUT-Baseline'!$I46=TRUE,0,IF('III. INPUT-Baseline'!$E$143=B140,0,IF('III. INPUT-Baseline'!$F$143=B140,0,IF('III. INPUT-Baseline'!$G$143=B140,0,IF('III. INPUT-Baseline'!$C$143="Yes",0,(F140-H140))))))</f>
        <v>0</v>
      </c>
      <c r="H141" s="158" t="e">
        <f t="shared" si="28"/>
        <v>#N/A</v>
      </c>
      <c r="I141" s="618">
        <f>IF('III. INPUT-Baseline'!D46=0,0,(H141*'III. INPUT-Baseline'!$C$113*0.68*0.001)*(('III. INPUT-Baseline'!G46-'III. INPUT-Baseline'!H46)/'III. INPUT-Baseline'!E46))</f>
        <v>0</v>
      </c>
      <c r="J141" s="158">
        <f t="shared" si="27"/>
        <v>0</v>
      </c>
      <c r="K141" s="4"/>
      <c r="L141" s="4"/>
      <c r="M141" s="4"/>
      <c r="O141" s="49"/>
    </row>
    <row r="142" spans="2:17" ht="13" x14ac:dyDescent="0.3">
      <c r="B142" s="609" t="str">
        <f>'III. INPUT-Baseline'!$B$47</f>
        <v>-</v>
      </c>
      <c r="C142" s="594" t="e">
        <f>$C$34</f>
        <v>#N/A</v>
      </c>
      <c r="D142" s="151">
        <f>MIN(0.95, MAX(0.104,EXP(15175*(('III. INPUT-Baseline'!$C$47+273)-303.16)/(1.987*('III. INPUT-Baseline'!$C$47+273)*303.16))))</f>
        <v>0.104</v>
      </c>
      <c r="E142" s="611">
        <f t="shared" si="26"/>
        <v>0</v>
      </c>
      <c r="F142" s="610" t="e">
        <f>(E142*'III. INPUT-Baseline'!E85*'III. INPUT-Baseline'!$E$166*C142*0.8)+G142</f>
        <v>#N/A</v>
      </c>
      <c r="G142" s="612">
        <f>IF('III. INPUT-Baseline'!$I47=TRUE,0,IF('III. INPUT-Baseline'!$E$143=B141,0,IF('III. INPUT-Baseline'!$F$143=B141,0,IF('III. INPUT-Baseline'!$G$143=B141,0,IF('III. INPUT-Baseline'!$C$143="Yes",0,(F141-H141))))))</f>
        <v>0</v>
      </c>
      <c r="H142" s="610" t="e">
        <f t="shared" ref="H142" si="29">F142*D142</f>
        <v>#N/A</v>
      </c>
      <c r="I142" s="618">
        <f>IF('III. INPUT-Baseline'!D47=0,0,(H142*'III. INPUT-Baseline'!$C$113*0.68*0.001)*(('III. INPUT-Baseline'!G47-'III. INPUT-Baseline'!H47)/'III. INPUT-Baseline'!E47))</f>
        <v>0</v>
      </c>
      <c r="J142" s="610">
        <f t="shared" ref="J142" si="30">I142*gwp_ch4</f>
        <v>0</v>
      </c>
      <c r="K142" s="4"/>
      <c r="L142" s="4"/>
      <c r="M142" s="4"/>
      <c r="O142" s="49"/>
    </row>
    <row r="143" spans="2:17" ht="13" x14ac:dyDescent="0.3">
      <c r="B143" s="596" t="s">
        <v>432</v>
      </c>
      <c r="C143" s="613"/>
      <c r="D143" s="598"/>
      <c r="E143" s="598"/>
      <c r="F143" s="614"/>
      <c r="G143" s="615"/>
      <c r="H143" s="605" t="e">
        <f>SUM(H130:H142)</f>
        <v>#N/A</v>
      </c>
      <c r="I143" s="605">
        <f t="shared" ref="I143" si="31">SUM(I130:I142)</f>
        <v>0</v>
      </c>
      <c r="J143" s="605">
        <f t="shared" ref="J143" si="32">SUM(J130:J142)</f>
        <v>0</v>
      </c>
      <c r="K143" s="4"/>
      <c r="L143" s="4"/>
      <c r="M143" s="4"/>
      <c r="O143" s="49"/>
    </row>
    <row r="144" spans="2:17" s="3" customFormat="1" ht="13" x14ac:dyDescent="0.3">
      <c r="D144" s="60"/>
      <c r="E144" s="60"/>
      <c r="F144" s="61"/>
      <c r="G144" s="61"/>
      <c r="H144" s="61"/>
      <c r="I144" s="61"/>
      <c r="J144" s="61"/>
      <c r="K144" s="153"/>
      <c r="L144" s="153"/>
      <c r="M144" s="154"/>
    </row>
    <row r="145" spans="1:94" s="64" customFormat="1" ht="13" x14ac:dyDescent="0.3">
      <c r="A145" s="11"/>
      <c r="B145" s="3"/>
      <c r="C145" s="4"/>
      <c r="D145" s="39"/>
      <c r="E145" s="656" t="s">
        <v>241</v>
      </c>
      <c r="F145" s="675"/>
      <c r="G145" s="675"/>
      <c r="H145" s="675"/>
      <c r="I145" s="675"/>
      <c r="J145" s="676"/>
      <c r="K145" s="4"/>
      <c r="L145" s="4"/>
      <c r="M145" s="4"/>
      <c r="N145" s="11"/>
      <c r="O145" s="4"/>
      <c r="P145" s="34"/>
      <c r="Q145" s="34"/>
      <c r="R145" s="34"/>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row>
    <row r="146" spans="1:94" s="64" customFormat="1" ht="13" x14ac:dyDescent="0.3">
      <c r="A146" s="11"/>
      <c r="B146" s="4"/>
      <c r="C146" s="3"/>
      <c r="D146" s="39"/>
      <c r="E146" s="677"/>
      <c r="F146" s="678"/>
      <c r="G146" s="678"/>
      <c r="H146" s="678"/>
      <c r="I146" s="678"/>
      <c r="J146" s="679"/>
      <c r="K146" s="4"/>
      <c r="L146" s="4"/>
      <c r="M146" s="4"/>
      <c r="N146" s="11"/>
      <c r="O146" s="4"/>
      <c r="P146" s="34"/>
      <c r="Q146" s="34"/>
      <c r="R146" s="34"/>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row>
    <row r="147" spans="1:94" ht="26" x14ac:dyDescent="0.3">
      <c r="B147" s="585">
        <f>'III. INPUT-Baseline'!B57</f>
        <v>0</v>
      </c>
      <c r="C147" s="585" t="str">
        <f>'III. INPUT-Baseline'!B125</f>
        <v>Uncovered anaerobic lagoon</v>
      </c>
      <c r="D147" s="149"/>
      <c r="E147" s="680"/>
      <c r="F147" s="681"/>
      <c r="G147" s="681"/>
      <c r="H147" s="681"/>
      <c r="I147" s="681"/>
      <c r="J147" s="682"/>
      <c r="K147" s="34"/>
      <c r="L147" s="34"/>
      <c r="M147" s="34"/>
    </row>
    <row r="148" spans="1:94" ht="15" x14ac:dyDescent="0.4">
      <c r="B148" s="546" t="s">
        <v>423</v>
      </c>
      <c r="C148" s="586">
        <f>'III. INPUT-Baseline'!D100</f>
        <v>0</v>
      </c>
      <c r="E148" s="61"/>
      <c r="F148" s="60"/>
      <c r="G148" s="60"/>
      <c r="H148" s="60"/>
      <c r="I148" s="60"/>
      <c r="J148" s="60"/>
      <c r="K148" s="94"/>
      <c r="L148" s="94"/>
    </row>
    <row r="149" spans="1:94" ht="13" x14ac:dyDescent="0.3">
      <c r="B149" s="616"/>
      <c r="C149" s="617"/>
      <c r="E149" s="61"/>
      <c r="F149" s="60"/>
      <c r="G149" s="60"/>
      <c r="H149" s="60"/>
      <c r="I149" s="60"/>
      <c r="J149" s="60"/>
    </row>
    <row r="150" spans="1:94" ht="29" x14ac:dyDescent="0.4">
      <c r="B150" s="136" t="s">
        <v>246</v>
      </c>
      <c r="C150" s="136" t="s">
        <v>424</v>
      </c>
      <c r="D150" s="606" t="s">
        <v>425</v>
      </c>
      <c r="E150" s="590" t="s">
        <v>426</v>
      </c>
      <c r="F150" s="591" t="s">
        <v>427</v>
      </c>
      <c r="G150" s="590" t="s">
        <v>428</v>
      </c>
      <c r="H150" s="591" t="s">
        <v>429</v>
      </c>
      <c r="I150" s="591" t="s">
        <v>430</v>
      </c>
      <c r="J150" s="591" t="s">
        <v>431</v>
      </c>
      <c r="K150" s="34"/>
      <c r="L150" s="34"/>
      <c r="M150" s="34"/>
    </row>
    <row r="151" spans="1:94" x14ac:dyDescent="0.25">
      <c r="B151" s="556" t="str">
        <f>'III. INPUT-Baseline'!$B$35</f>
        <v>-</v>
      </c>
      <c r="C151" s="594" t="e">
        <f>$C$22</f>
        <v>#N/A</v>
      </c>
      <c r="D151" s="151">
        <f>MIN(0.95, MAX(0.104,EXP(15175*(('III. INPUT-Baseline'!$C$35+273)-303.16)/(1.987*('III. INPUT-Baseline'!$C$35+273)*303.16))))</f>
        <v>0.104</v>
      </c>
      <c r="E151" s="366">
        <f t="shared" ref="E151:E163" si="33">$C$148</f>
        <v>0</v>
      </c>
      <c r="F151" s="158" t="e">
        <f>(E151*'III. INPUT-Baseline'!F73*'III. INPUT-Baseline'!$F$165*C151*0.8)+G151</f>
        <v>#N/A</v>
      </c>
      <c r="G151" s="592">
        <v>0</v>
      </c>
      <c r="H151" s="158" t="e">
        <f>F151*D151</f>
        <v>#N/A</v>
      </c>
      <c r="I151" s="618">
        <f>IF('III. INPUT-Baseline'!D35=0,0,(H151*'III. INPUT-Baseline'!$C$114*0.68*0.001)*(('III. INPUT-Baseline'!G35-'III. INPUT-Baseline'!H35)/'III. INPUT-Baseline'!E35))</f>
        <v>0</v>
      </c>
      <c r="J151" s="158">
        <f t="shared" ref="J151:J162" si="34">I151*gwp_ch4</f>
        <v>0</v>
      </c>
    </row>
    <row r="152" spans="1:94" x14ac:dyDescent="0.25">
      <c r="B152" s="556" t="str">
        <f>'III. INPUT-Baseline'!$B$36</f>
        <v>-</v>
      </c>
      <c r="C152" s="594" t="e">
        <f>$C$23</f>
        <v>#N/A</v>
      </c>
      <c r="D152" s="151">
        <f>MIN(0.95, MAX(0.104,EXP(15175*(('III. INPUT-Baseline'!$C$36+273)-303.16)/(1.987*('III. INPUT-Baseline'!$C$36+273)*303.16))))</f>
        <v>0.104</v>
      </c>
      <c r="E152" s="366">
        <f t="shared" si="33"/>
        <v>0</v>
      </c>
      <c r="F152" s="158" t="e">
        <f>(E152*'III. INPUT-Baseline'!F74*'III. INPUT-Baseline'!$F$165*C152*0.8)+G152</f>
        <v>#N/A</v>
      </c>
      <c r="G152" s="593" t="e">
        <f>IF('III. INPUT-Baseline'!$I$36=TRUE,0,IF('III. INPUT-Baseline'!$E$142=B151,0,IF('III. INPUT-Baseline'!$F$142=B151,0,IF('III. INPUT-Baseline'!$G$142=B151,0,IF('III. INPUT-Baseline'!$C$142="Yes",0,(F151-H151))))))</f>
        <v>#N/A</v>
      </c>
      <c r="H152" s="158" t="e">
        <f t="shared" ref="H152:H162" si="35">F152*D152</f>
        <v>#N/A</v>
      </c>
      <c r="I152" s="618">
        <f>IF('III. INPUT-Baseline'!D36=0,0,(H152*'III. INPUT-Baseline'!$C$114*0.68*0.001)*(('III. INPUT-Baseline'!G36-'III. INPUT-Baseline'!H36)/'III. INPUT-Baseline'!E36))</f>
        <v>0</v>
      </c>
      <c r="J152" s="158">
        <f t="shared" si="34"/>
        <v>0</v>
      </c>
    </row>
    <row r="153" spans="1:94" x14ac:dyDescent="0.25">
      <c r="B153" s="556" t="str">
        <f>'III. INPUT-Baseline'!$B$37</f>
        <v>-</v>
      </c>
      <c r="C153" s="594" t="e">
        <f>$C$24</f>
        <v>#N/A</v>
      </c>
      <c r="D153" s="151">
        <f>MIN(0.95, MAX(0.104,EXP(15175*(('III. INPUT-Baseline'!$C$37+273)-303.16)/(1.987*('III. INPUT-Baseline'!$C$37+273)*303.16))))</f>
        <v>0.104</v>
      </c>
      <c r="E153" s="366">
        <f t="shared" si="33"/>
        <v>0</v>
      </c>
      <c r="F153" s="158" t="e">
        <f>(E153*'III. INPUT-Baseline'!F75*'III. INPUT-Baseline'!$F$165*C153*0.8)+G153</f>
        <v>#N/A</v>
      </c>
      <c r="G153" s="593" t="e">
        <f>IF('III. INPUT-Baseline'!$I$37=TRUE,0,IF('III. INPUT-Baseline'!$E$142=B152,0,IF('III. INPUT-Baseline'!$F$142=B152,0,IF('III. INPUT-Baseline'!$G$142=B152,0,IF('III. INPUT-Baseline'!$C$142="Yes",0,(F152-H152))))))</f>
        <v>#N/A</v>
      </c>
      <c r="H153" s="158" t="e">
        <f t="shared" si="35"/>
        <v>#N/A</v>
      </c>
      <c r="I153" s="618">
        <f>IF('III. INPUT-Baseline'!D37=0,0,(H153*'III. INPUT-Baseline'!$C$114*0.68*0.001)*(('III. INPUT-Baseline'!G37-'III. INPUT-Baseline'!H37)/'III. INPUT-Baseline'!E37))</f>
        <v>0</v>
      </c>
      <c r="J153" s="158">
        <f t="shared" si="34"/>
        <v>0</v>
      </c>
    </row>
    <row r="154" spans="1:94" x14ac:dyDescent="0.25">
      <c r="B154" s="556" t="str">
        <f>'III. INPUT-Baseline'!$B$38</f>
        <v>-</v>
      </c>
      <c r="C154" s="594" t="e">
        <f>$C$25</f>
        <v>#N/A</v>
      </c>
      <c r="D154" s="151">
        <f>MIN(0.95, MAX(0.104,EXP(15175*(('III. INPUT-Baseline'!$C$38+273)-303.16)/(1.987*('III. INPUT-Baseline'!$C$38+273)*303.16))))</f>
        <v>0.104</v>
      </c>
      <c r="E154" s="366">
        <f t="shared" si="33"/>
        <v>0</v>
      </c>
      <c r="F154" s="158" t="e">
        <f>(E154*'III. INPUT-Baseline'!F76*'III. INPUT-Baseline'!$F$165*C154*0.8)+G154</f>
        <v>#N/A</v>
      </c>
      <c r="G154" s="593" t="e">
        <f>IF('III. INPUT-Baseline'!$I$38=TRUE,0,IF('III. INPUT-Baseline'!$E$142=B153,0,IF('III. INPUT-Baseline'!$F$142=B153,0,IF('III. INPUT-Baseline'!$G$142=B153,0,IF('III. INPUT-Baseline'!$C$142="Yes",0,(F153-H153))))))</f>
        <v>#N/A</v>
      </c>
      <c r="H154" s="158" t="e">
        <f t="shared" si="35"/>
        <v>#N/A</v>
      </c>
      <c r="I154" s="618">
        <f>IF('III. INPUT-Baseline'!D38=0,0,(H154*'III. INPUT-Baseline'!$C$114*0.68*0.001)*(('III. INPUT-Baseline'!G38-'III. INPUT-Baseline'!H38)/'III. INPUT-Baseline'!E38))</f>
        <v>0</v>
      </c>
      <c r="J154" s="158">
        <f t="shared" si="34"/>
        <v>0</v>
      </c>
    </row>
    <row r="155" spans="1:94" x14ac:dyDescent="0.25">
      <c r="B155" s="556" t="str">
        <f>'III. INPUT-Baseline'!$B$39</f>
        <v>-</v>
      </c>
      <c r="C155" s="594" t="e">
        <f>$C$26</f>
        <v>#N/A</v>
      </c>
      <c r="D155" s="151">
        <f>MIN(0.95, MAX(0.104,EXP(15175*(('III. INPUT-Baseline'!$C$39+273)-303.16)/(1.987*('III. INPUT-Baseline'!$C$39+273)*303.16))))</f>
        <v>0.104</v>
      </c>
      <c r="E155" s="366">
        <f t="shared" si="33"/>
        <v>0</v>
      </c>
      <c r="F155" s="158" t="e">
        <f>(E155*'III. INPUT-Baseline'!F77*'III. INPUT-Baseline'!$F$165*C155*0.8)+G155</f>
        <v>#N/A</v>
      </c>
      <c r="G155" s="593" t="e">
        <f>IF('III. INPUT-Baseline'!$I$39=TRUE,0,IF('III. INPUT-Baseline'!$E$142=B154,0,IF('III. INPUT-Baseline'!$F$142=B154,0,IF('III. INPUT-Baseline'!$G$142=B154,0,IF('III. INPUT-Baseline'!$C$142="Yes",0,(F154-H154))))))</f>
        <v>#N/A</v>
      </c>
      <c r="H155" s="158" t="e">
        <f t="shared" si="35"/>
        <v>#N/A</v>
      </c>
      <c r="I155" s="618">
        <f>IF('III. INPUT-Baseline'!D39=0,0,(H155*'III. INPUT-Baseline'!$C$114*0.68*0.001)*(('III. INPUT-Baseline'!G39-'III. INPUT-Baseline'!H39)/'III. INPUT-Baseline'!E39))</f>
        <v>0</v>
      </c>
      <c r="J155" s="158">
        <f t="shared" si="34"/>
        <v>0</v>
      </c>
    </row>
    <row r="156" spans="1:94" x14ac:dyDescent="0.25">
      <c r="B156" s="556" t="str">
        <f>'III. INPUT-Baseline'!$B$40</f>
        <v>-</v>
      </c>
      <c r="C156" s="594" t="e">
        <f>$C$27</f>
        <v>#N/A</v>
      </c>
      <c r="D156" s="151">
        <f>MIN(0.95, MAX(0.104,EXP(15175*(('III. INPUT-Baseline'!$C$40+273)-303.16)/(1.987*('III. INPUT-Baseline'!$C$40+273)*303.16))))</f>
        <v>0.104</v>
      </c>
      <c r="E156" s="366">
        <f t="shared" si="33"/>
        <v>0</v>
      </c>
      <c r="F156" s="158" t="e">
        <f>(E156*'III. INPUT-Baseline'!F78*'III. INPUT-Baseline'!$F$165*C156*0.8)+G156</f>
        <v>#N/A</v>
      </c>
      <c r="G156" s="593" t="e">
        <f>IF('III. INPUT-Baseline'!$I$40=TRUE,0,IF('III. INPUT-Baseline'!$E$142=B155,0,IF('III. INPUT-Baseline'!$F$142=B155,0,IF('III. INPUT-Baseline'!$G$142=B155,0,IF('III. INPUT-Baseline'!$C$142="Yes",0,(F155-H155))))))</f>
        <v>#N/A</v>
      </c>
      <c r="H156" s="158" t="e">
        <f t="shared" si="35"/>
        <v>#N/A</v>
      </c>
      <c r="I156" s="618">
        <f>IF('III. INPUT-Baseline'!D40=0,0,(H156*'III. INPUT-Baseline'!$C$114*0.68*0.001)*(('III. INPUT-Baseline'!G40-'III. INPUT-Baseline'!H40)/'III. INPUT-Baseline'!E40))</f>
        <v>0</v>
      </c>
      <c r="J156" s="158">
        <f t="shared" si="34"/>
        <v>0</v>
      </c>
    </row>
    <row r="157" spans="1:94" x14ac:dyDescent="0.25">
      <c r="B157" s="556" t="str">
        <f>'III. INPUT-Baseline'!$B$41</f>
        <v>-</v>
      </c>
      <c r="C157" s="594" t="e">
        <f>$C$28</f>
        <v>#N/A</v>
      </c>
      <c r="D157" s="151">
        <f>MIN(0.95, MAX(0.104,EXP(15175*(('III. INPUT-Baseline'!$C$41+273)-303.16)/(1.987*('III. INPUT-Baseline'!$C$41+273)*303.16))))</f>
        <v>0.104</v>
      </c>
      <c r="E157" s="366">
        <f t="shared" si="33"/>
        <v>0</v>
      </c>
      <c r="F157" s="158" t="e">
        <f>(E157*'III. INPUT-Baseline'!F79*'III. INPUT-Baseline'!$F$165*C157*0.8)+G157</f>
        <v>#N/A</v>
      </c>
      <c r="G157" s="593" t="e">
        <f>IF('III. INPUT-Baseline'!$I$41=TRUE,0,IF('III. INPUT-Baseline'!$E$142=B156,0,IF('III. INPUT-Baseline'!$F$142=B156,0,IF('III. INPUT-Baseline'!$G$142=B156,0,IF('III. INPUT-Baseline'!$C$142="Yes",0,(F156-H156))))))</f>
        <v>#N/A</v>
      </c>
      <c r="H157" s="158" t="e">
        <f t="shared" si="35"/>
        <v>#N/A</v>
      </c>
      <c r="I157" s="618">
        <f>IF('III. INPUT-Baseline'!D41=0,0,(H157*'III. INPUT-Baseline'!$C$114*0.68*0.001)*(('III. INPUT-Baseline'!G41-'III. INPUT-Baseline'!H41)/'III. INPUT-Baseline'!E41))</f>
        <v>0</v>
      </c>
      <c r="J157" s="158">
        <f t="shared" si="34"/>
        <v>0</v>
      </c>
    </row>
    <row r="158" spans="1:94" x14ac:dyDescent="0.25">
      <c r="B158" s="556" t="str">
        <f>'III. INPUT-Baseline'!$B$42</f>
        <v>-</v>
      </c>
      <c r="C158" s="594" t="e">
        <f>$C$29</f>
        <v>#N/A</v>
      </c>
      <c r="D158" s="151">
        <f>MIN(0.95, MAX(0.104,EXP(15175*(('III. INPUT-Baseline'!$C$42+273)-303.16)/(1.987*('III. INPUT-Baseline'!$C$42+273)*303.16))))</f>
        <v>0.104</v>
      </c>
      <c r="E158" s="366">
        <f t="shared" si="33"/>
        <v>0</v>
      </c>
      <c r="F158" s="158" t="e">
        <f>(E158*'III. INPUT-Baseline'!F80*'III. INPUT-Baseline'!$F$165*C158*0.8)+G158</f>
        <v>#N/A</v>
      </c>
      <c r="G158" s="593" t="e">
        <f>IF('III. INPUT-Baseline'!$I$42=TRUE,0,IF('III. INPUT-Baseline'!$E$142=B157,0,IF('III. INPUT-Baseline'!$F$142=B157,0,IF('III. INPUT-Baseline'!$G$142=B157,0,IF('III. INPUT-Baseline'!$C$142="Yes",0,(F157-H157))))))</f>
        <v>#N/A</v>
      </c>
      <c r="H158" s="158" t="e">
        <f t="shared" si="35"/>
        <v>#N/A</v>
      </c>
      <c r="I158" s="618">
        <f>IF('III. INPUT-Baseline'!D42=0,0,(H158*'III. INPUT-Baseline'!$C$114*0.68*0.001)*(('III. INPUT-Baseline'!G42-'III. INPUT-Baseline'!H42)/'III. INPUT-Baseline'!E42))</f>
        <v>0</v>
      </c>
      <c r="J158" s="158">
        <f t="shared" si="34"/>
        <v>0</v>
      </c>
    </row>
    <row r="159" spans="1:94" s="3" customFormat="1" ht="13" x14ac:dyDescent="0.3">
      <c r="B159" s="556" t="str">
        <f>'III. INPUT-Baseline'!$B$43</f>
        <v>-</v>
      </c>
      <c r="C159" s="594" t="e">
        <f>$C$30</f>
        <v>#N/A</v>
      </c>
      <c r="D159" s="151">
        <f>MIN(0.95, MAX(0.104,EXP(15175*(('III. INPUT-Baseline'!$C$43+273)-303.16)/(1.987*('III. INPUT-Baseline'!$C$43+273)*303.16))))</f>
        <v>0.104</v>
      </c>
      <c r="E159" s="366">
        <f t="shared" si="33"/>
        <v>0</v>
      </c>
      <c r="F159" s="158" t="e">
        <f>(E159*'III. INPUT-Baseline'!F81*'III. INPUT-Baseline'!$F$165*C159*0.8)+G159</f>
        <v>#N/A</v>
      </c>
      <c r="G159" s="593" t="e">
        <f>IF('III. INPUT-Baseline'!$I$43=TRUE,0,IF('III. INPUT-Baseline'!$E$142=B158,0,IF('III. INPUT-Baseline'!$F$142=B158,0,IF('III. INPUT-Baseline'!$G$142=B158,0,IF('III. INPUT-Baseline'!$C$142="Yes",0,(F158-H158))))))</f>
        <v>#N/A</v>
      </c>
      <c r="H159" s="158" t="e">
        <f t="shared" si="35"/>
        <v>#N/A</v>
      </c>
      <c r="I159" s="618">
        <f>IF('III. INPUT-Baseline'!D43=0,0,(H159*'III. INPUT-Baseline'!$C$114*0.68*0.001)*(('III. INPUT-Baseline'!G43-'III. INPUT-Baseline'!H43)/'III. INPUT-Baseline'!E43))</f>
        <v>0</v>
      </c>
      <c r="J159" s="158">
        <f t="shared" si="34"/>
        <v>0</v>
      </c>
      <c r="K159" s="153"/>
      <c r="L159" s="153"/>
      <c r="M159" s="154"/>
      <c r="N159" s="154"/>
      <c r="O159" s="4"/>
      <c r="Q159" s="153"/>
    </row>
    <row r="160" spans="1:94" x14ac:dyDescent="0.25">
      <c r="B160" s="556" t="str">
        <f>'III. INPUT-Baseline'!$B$44</f>
        <v>-</v>
      </c>
      <c r="C160" s="594" t="e">
        <f>$C$31</f>
        <v>#N/A</v>
      </c>
      <c r="D160" s="151">
        <f>MIN(0.95, MAX(0.104,EXP(15175*(('III. INPUT-Baseline'!$C$44+273)-303.16)/(1.987*('III. INPUT-Baseline'!$C$44+273)*303.16))))</f>
        <v>0.104</v>
      </c>
      <c r="E160" s="366">
        <f t="shared" si="33"/>
        <v>0</v>
      </c>
      <c r="F160" s="158" t="e">
        <f>(E160*'III. INPUT-Baseline'!F82*'III. INPUT-Baseline'!$F$165*C160*0.8)+G160</f>
        <v>#N/A</v>
      </c>
      <c r="G160" s="593" t="e">
        <f>IF('III. INPUT-Baseline'!$I$44=TRUE,0,IF('III. INPUT-Baseline'!$E$142=B159,0,IF('III. INPUT-Baseline'!$F$142=B159,0,IF('III. INPUT-Baseline'!$G$142=B159,0,IF('III. INPUT-Baseline'!$C$142="Yes",0,(F159-H159))))))</f>
        <v>#N/A</v>
      </c>
      <c r="H160" s="158" t="e">
        <f t="shared" si="35"/>
        <v>#N/A</v>
      </c>
      <c r="I160" s="618">
        <f>IF('III. INPUT-Baseline'!D44=0,0,(H160*'III. INPUT-Baseline'!$C$114*0.68*0.001)*(('III. INPUT-Baseline'!G44-'III. INPUT-Baseline'!H44)/'III. INPUT-Baseline'!E44))</f>
        <v>0</v>
      </c>
      <c r="J160" s="158">
        <f t="shared" si="34"/>
        <v>0</v>
      </c>
      <c r="K160" s="94"/>
      <c r="L160" s="94"/>
      <c r="M160" s="94"/>
      <c r="N160" s="156"/>
      <c r="O160" s="94"/>
      <c r="P160" s="156"/>
      <c r="Q160" s="156"/>
    </row>
    <row r="161" spans="2:15" s="3" customFormat="1" ht="13" x14ac:dyDescent="0.3">
      <c r="B161" s="556" t="str">
        <f>'III. INPUT-Baseline'!$B$45</f>
        <v>-</v>
      </c>
      <c r="C161" s="594" t="e">
        <f>$C$32</f>
        <v>#N/A</v>
      </c>
      <c r="D161" s="151">
        <f>MIN(0.95, MAX(0.104,EXP(15175*(('III. INPUT-Baseline'!$C$45+273)-303.16)/(1.987*('III. INPUT-Baseline'!$C$45+273)*303.16))))</f>
        <v>0.104</v>
      </c>
      <c r="E161" s="366">
        <f t="shared" si="33"/>
        <v>0</v>
      </c>
      <c r="F161" s="158" t="e">
        <f>(E161*'III. INPUT-Baseline'!F83*'III. INPUT-Baseline'!$F$165*C161*0.8)+G161</f>
        <v>#N/A</v>
      </c>
      <c r="G161" s="593" t="e">
        <f>IF('III. INPUT-Baseline'!$I$45=TRUE,0,IF('III. INPUT-Baseline'!$E$142=B160,0,IF('III. INPUT-Baseline'!$F$142=B160,0,IF('III. INPUT-Baseline'!$G$142=B160,0,IF('III. INPUT-Baseline'!$C$142="Yes",0,(F160-H160))))))</f>
        <v>#N/A</v>
      </c>
      <c r="H161" s="158" t="e">
        <f t="shared" si="35"/>
        <v>#N/A</v>
      </c>
      <c r="I161" s="618">
        <f>IF('III. INPUT-Baseline'!D45=0,0,(H161*'III. INPUT-Baseline'!$C$114*0.68*0.001)*(('III. INPUT-Baseline'!G45-'III. INPUT-Baseline'!H45)/'III. INPUT-Baseline'!E45))</f>
        <v>0</v>
      </c>
      <c r="J161" s="158">
        <f t="shared" si="34"/>
        <v>0</v>
      </c>
      <c r="K161" s="4"/>
      <c r="L161" s="4"/>
      <c r="M161" s="4"/>
      <c r="O161" s="4"/>
    </row>
    <row r="162" spans="2:15" ht="13" x14ac:dyDescent="0.3">
      <c r="B162" s="556" t="str">
        <f>'III. INPUT-Baseline'!$B$46</f>
        <v>-</v>
      </c>
      <c r="C162" s="594" t="e">
        <f>$C$33</f>
        <v>#N/A</v>
      </c>
      <c r="D162" s="151">
        <f>MIN(0.95, MAX(0.104,EXP(15175*(('III. INPUT-Baseline'!$C$46+273)-303.16)/(1.987*('III. INPUT-Baseline'!$C$46+273)*303.16))))</f>
        <v>0.104</v>
      </c>
      <c r="E162" s="366">
        <f t="shared" si="33"/>
        <v>0</v>
      </c>
      <c r="F162" s="158" t="e">
        <f>(E162*'III. INPUT-Baseline'!F84*'III. INPUT-Baseline'!$F$165*C162*0.8)+G162</f>
        <v>#N/A</v>
      </c>
      <c r="G162" s="593" t="e">
        <f>IF('III. INPUT-Baseline'!$I$46=TRUE,0,IF('III. INPUT-Baseline'!$E$142=B161,0,IF('III. INPUT-Baseline'!$F$142=B161,0,IF('III. INPUT-Baseline'!$G$142=B161,0,IF('III. INPUT-Baseline'!$C$142="Yes",0,(F161-H161))))))</f>
        <v>#N/A</v>
      </c>
      <c r="H162" s="158" t="e">
        <f t="shared" si="35"/>
        <v>#N/A</v>
      </c>
      <c r="I162" s="618">
        <f>IF('III. INPUT-Baseline'!D46=0,0,(H162*'III. INPUT-Baseline'!$C$114*0.68*0.001)*(('III. INPUT-Baseline'!G46-'III. INPUT-Baseline'!H46)/'III. INPUT-Baseline'!E46))</f>
        <v>0</v>
      </c>
      <c r="J162" s="158">
        <f t="shared" si="34"/>
        <v>0</v>
      </c>
      <c r="K162" s="4"/>
      <c r="L162" s="4"/>
      <c r="M162" s="4"/>
      <c r="O162" s="49"/>
    </row>
    <row r="163" spans="2:15" ht="13" x14ac:dyDescent="0.3">
      <c r="B163" s="609" t="str">
        <f>'III. INPUT-Baseline'!$B$47</f>
        <v>-</v>
      </c>
      <c r="C163" s="594" t="e">
        <f>$C$34</f>
        <v>#N/A</v>
      </c>
      <c r="D163" s="151">
        <f>MIN(0.95, MAX(0.104,EXP(15175*(('III. INPUT-Baseline'!$C$47+273)-303.16)/(1.987*('III. INPUT-Baseline'!$C$47+273)*303.16))))</f>
        <v>0.104</v>
      </c>
      <c r="E163" s="611">
        <f t="shared" si="33"/>
        <v>0</v>
      </c>
      <c r="F163" s="610" t="e">
        <f>(E163*'III. INPUT-Baseline'!F85*'III. INPUT-Baseline'!$F$165*C163*0.8)+G163</f>
        <v>#N/A</v>
      </c>
      <c r="G163" s="612" t="e">
        <f>IF('III. INPUT-Baseline'!$I$46=TRUE,0,IF('III. INPUT-Baseline'!$E$142=B162,0,IF('III. INPUT-Baseline'!$F$142=B162,0,IF('III. INPUT-Baseline'!$G$142=B162,0,IF('III. INPUT-Baseline'!$C$142="Yes",0,(F162-H162))))))</f>
        <v>#N/A</v>
      </c>
      <c r="H163" s="610" t="e">
        <f t="shared" ref="H163" si="36">F163*D163</f>
        <v>#N/A</v>
      </c>
      <c r="I163" s="618">
        <f>IF('III. INPUT-Baseline'!D47=0,0,(H163*'III. INPUT-Baseline'!$C$114*0.68*0.001)*(('III. INPUT-Baseline'!G47-'III. INPUT-Baseline'!H47)/'III. INPUT-Baseline'!E47))</f>
        <v>0</v>
      </c>
      <c r="J163" s="610">
        <f t="shared" ref="J163" si="37">I163*gwp_ch4</f>
        <v>0</v>
      </c>
      <c r="K163" s="4"/>
      <c r="L163" s="4"/>
      <c r="M163" s="4"/>
      <c r="O163" s="49"/>
    </row>
    <row r="164" spans="2:15" ht="13" x14ac:dyDescent="0.3">
      <c r="B164" s="596" t="s">
        <v>432</v>
      </c>
      <c r="C164" s="613"/>
      <c r="D164" s="598"/>
      <c r="E164" s="598"/>
      <c r="F164" s="614"/>
      <c r="G164" s="615"/>
      <c r="H164" s="605" t="e">
        <f>SUM(H151:H163)</f>
        <v>#N/A</v>
      </c>
      <c r="I164" s="605">
        <f t="shared" ref="I164" si="38">SUM(I151:I163)</f>
        <v>0</v>
      </c>
      <c r="J164" s="605">
        <f t="shared" ref="J164" si="39">SUM(J151:J163)</f>
        <v>0</v>
      </c>
      <c r="K164" s="4"/>
      <c r="L164" s="4"/>
      <c r="M164" s="4"/>
      <c r="O164" s="49"/>
    </row>
    <row r="165" spans="2:15" ht="13" x14ac:dyDescent="0.3">
      <c r="B165" s="3"/>
      <c r="C165" s="3"/>
      <c r="D165" s="60"/>
      <c r="E165" s="60"/>
      <c r="F165" s="61"/>
      <c r="G165" s="61"/>
      <c r="H165" s="61"/>
      <c r="I165" s="61"/>
      <c r="J165" s="61"/>
      <c r="N165" s="3"/>
      <c r="O165" s="49"/>
    </row>
    <row r="166" spans="2:15" ht="13" x14ac:dyDescent="0.3">
      <c r="B166" s="3"/>
      <c r="C166" s="49"/>
      <c r="E166" s="656" t="s">
        <v>241</v>
      </c>
      <c r="F166" s="675"/>
      <c r="G166" s="675"/>
      <c r="H166" s="675"/>
      <c r="I166" s="675"/>
      <c r="J166" s="676"/>
    </row>
    <row r="167" spans="2:15" ht="13" x14ac:dyDescent="0.3">
      <c r="B167" s="3"/>
      <c r="C167" s="49"/>
      <c r="E167" s="677"/>
      <c r="F167" s="678"/>
      <c r="G167" s="678"/>
      <c r="H167" s="678"/>
      <c r="I167" s="678"/>
      <c r="J167" s="679"/>
    </row>
    <row r="168" spans="2:15" ht="13" x14ac:dyDescent="0.3">
      <c r="B168" s="585">
        <f>B147</f>
        <v>0</v>
      </c>
      <c r="C168" s="585">
        <f>'III. INPUT-Baseline'!B126</f>
        <v>0</v>
      </c>
      <c r="D168" s="149"/>
      <c r="E168" s="680"/>
      <c r="F168" s="681"/>
      <c r="G168" s="681"/>
      <c r="H168" s="681"/>
      <c r="I168" s="681"/>
      <c r="J168" s="682"/>
    </row>
    <row r="169" spans="2:15" ht="15" x14ac:dyDescent="0.4">
      <c r="B169" s="546" t="s">
        <v>423</v>
      </c>
      <c r="C169" s="586">
        <f>C148</f>
        <v>0</v>
      </c>
      <c r="E169" s="61"/>
      <c r="F169" s="60"/>
      <c r="G169" s="60"/>
      <c r="H169" s="60"/>
      <c r="I169" s="60"/>
      <c r="J169" s="60"/>
    </row>
    <row r="170" spans="2:15" ht="13" x14ac:dyDescent="0.3">
      <c r="B170" s="616"/>
      <c r="C170" s="617"/>
      <c r="E170" s="61"/>
      <c r="F170" s="60"/>
      <c r="G170" s="60"/>
      <c r="H170" s="60"/>
      <c r="I170" s="60"/>
      <c r="J170" s="60"/>
    </row>
    <row r="171" spans="2:15" ht="29" x14ac:dyDescent="0.4">
      <c r="B171" s="136" t="s">
        <v>246</v>
      </c>
      <c r="C171" s="136" t="s">
        <v>424</v>
      </c>
      <c r="D171" s="606" t="s">
        <v>425</v>
      </c>
      <c r="E171" s="590" t="s">
        <v>426</v>
      </c>
      <c r="F171" s="591" t="s">
        <v>427</v>
      </c>
      <c r="G171" s="590" t="s">
        <v>428</v>
      </c>
      <c r="H171" s="591" t="s">
        <v>429</v>
      </c>
      <c r="I171" s="591" t="s">
        <v>430</v>
      </c>
      <c r="J171" s="591" t="s">
        <v>431</v>
      </c>
      <c r="K171" s="34"/>
      <c r="L171" s="34"/>
      <c r="M171" s="34"/>
    </row>
    <row r="172" spans="2:15" x14ac:dyDescent="0.25">
      <c r="B172" s="556" t="str">
        <f>'III. INPUT-Baseline'!$B$35</f>
        <v>-</v>
      </c>
      <c r="C172" s="594" t="e">
        <f>$C$22</f>
        <v>#N/A</v>
      </c>
      <c r="D172" s="151">
        <f>MIN(0.95, MAX(0.104,EXP(15175*(('III. INPUT-Baseline'!$C$35+273)-303.16)/(1.987*('III. INPUT-Baseline'!$C$35+273)*303.16))))</f>
        <v>0.104</v>
      </c>
      <c r="E172" s="366">
        <f t="shared" ref="E172:E184" si="40">$C$169</f>
        <v>0</v>
      </c>
      <c r="F172" s="158" t="e">
        <f>(E172*'III. INPUT-Baseline'!F73*'III. INPUT-Baseline'!$F$166*C172*0.8)+G172</f>
        <v>#N/A</v>
      </c>
      <c r="G172" s="592">
        <v>0</v>
      </c>
      <c r="H172" s="158" t="e">
        <f>F172*D172</f>
        <v>#N/A</v>
      </c>
      <c r="I172" s="618">
        <f>IF('III. INPUT-Baseline'!D35=0,0,(H172*'III. INPUT-Baseline'!$C$114*0.68*0.001)*(('III. INPUT-Baseline'!G35-'III. INPUT-Baseline'!H35)/'III. INPUT-Baseline'!E35))</f>
        <v>0</v>
      </c>
      <c r="J172" s="158">
        <f t="shared" ref="J172:J183" si="41">I172*gwp_ch4</f>
        <v>0</v>
      </c>
    </row>
    <row r="173" spans="2:15" x14ac:dyDescent="0.25">
      <c r="B173" s="556" t="str">
        <f>'III. INPUT-Baseline'!$B$36</f>
        <v>-</v>
      </c>
      <c r="C173" s="594" t="e">
        <f>$C$23</f>
        <v>#N/A</v>
      </c>
      <c r="D173" s="151">
        <f>MIN(0.95, MAX(0.104,EXP(15175*(('III. INPUT-Baseline'!$C$36+273)-303.16)/(1.987*('III. INPUT-Baseline'!$C$36+273)*303.16))))</f>
        <v>0.104</v>
      </c>
      <c r="E173" s="366">
        <f t="shared" si="40"/>
        <v>0</v>
      </c>
      <c r="F173" s="158" t="e">
        <f>(E173*'III. INPUT-Baseline'!F74*'III. INPUT-Baseline'!$F$166*C173*0.8)+G173</f>
        <v>#N/A</v>
      </c>
      <c r="G173" s="593">
        <f>IF('III. INPUT-Baseline'!$I36=TRUE,0,IF('III. INPUT-Baseline'!$E$143=B172,0,IF('III. INPUT-Baseline'!$F$143=B172,0,IF('III. INPUT-Baseline'!$G$143=B172,0,IF('III. INPUT-Baseline'!$C$143="Yes",0,(F172-H172))))))</f>
        <v>0</v>
      </c>
      <c r="H173" s="158" t="e">
        <f t="shared" ref="H173:H183" si="42">F173*D173</f>
        <v>#N/A</v>
      </c>
      <c r="I173" s="618">
        <f>IF('III. INPUT-Baseline'!D36=0,0,(H173*'III. INPUT-Baseline'!$C$114*0.68*0.001)*(('III. INPUT-Baseline'!G36-'III. INPUT-Baseline'!H36)/'III. INPUT-Baseline'!E36))</f>
        <v>0</v>
      </c>
      <c r="J173" s="158">
        <f t="shared" si="41"/>
        <v>0</v>
      </c>
    </row>
    <row r="174" spans="2:15" x14ac:dyDescent="0.25">
      <c r="B174" s="556" t="str">
        <f>'III. INPUT-Baseline'!$B$37</f>
        <v>-</v>
      </c>
      <c r="C174" s="594" t="e">
        <f>$C$24</f>
        <v>#N/A</v>
      </c>
      <c r="D174" s="151">
        <f>MIN(0.95, MAX(0.104,EXP(15175*(('III. INPUT-Baseline'!$C$37+273)-303.16)/(1.987*('III. INPUT-Baseline'!$C$37+273)*303.16))))</f>
        <v>0.104</v>
      </c>
      <c r="E174" s="366">
        <f t="shared" si="40"/>
        <v>0</v>
      </c>
      <c r="F174" s="158" t="e">
        <f>(E174*'III. INPUT-Baseline'!F75*'III. INPUT-Baseline'!$F$166*C174*0.8)+G174</f>
        <v>#N/A</v>
      </c>
      <c r="G174" s="593">
        <f>IF('III. INPUT-Baseline'!$I37=TRUE,0,IF('III. INPUT-Baseline'!$E$143=B173,0,IF('III. INPUT-Baseline'!$F$143=B173,0,IF('III. INPUT-Baseline'!$G$143=B173,0,IF('III. INPUT-Baseline'!$C$143="Yes",0,(F173-H173))))))</f>
        <v>0</v>
      </c>
      <c r="H174" s="158" t="e">
        <f t="shared" si="42"/>
        <v>#N/A</v>
      </c>
      <c r="I174" s="618">
        <f>IF('III. INPUT-Baseline'!D37=0,0,(H174*'III. INPUT-Baseline'!$C$114*0.68*0.001)*(('III. INPUT-Baseline'!G37-'III. INPUT-Baseline'!H37)/'III. INPUT-Baseline'!E37))</f>
        <v>0</v>
      </c>
      <c r="J174" s="158">
        <f t="shared" si="41"/>
        <v>0</v>
      </c>
    </row>
    <row r="175" spans="2:15" x14ac:dyDescent="0.25">
      <c r="B175" s="556" t="str">
        <f>'III. INPUT-Baseline'!$B$38</f>
        <v>-</v>
      </c>
      <c r="C175" s="594" t="e">
        <f>$C$25</f>
        <v>#N/A</v>
      </c>
      <c r="D175" s="151">
        <f>MIN(0.95, MAX(0.104,EXP(15175*(('III. INPUT-Baseline'!$C$38+273)-303.16)/(1.987*('III. INPUT-Baseline'!$C$38+273)*303.16))))</f>
        <v>0.104</v>
      </c>
      <c r="E175" s="366">
        <f t="shared" si="40"/>
        <v>0</v>
      </c>
      <c r="F175" s="158" t="e">
        <f>(E175*'III. INPUT-Baseline'!F76*'III. INPUT-Baseline'!$F$166*C175*0.8)+G175</f>
        <v>#N/A</v>
      </c>
      <c r="G175" s="593">
        <f>IF('III. INPUT-Baseline'!$I38=TRUE,0,IF('III. INPUT-Baseline'!$E$143=B174,0,IF('III. INPUT-Baseline'!$F$143=B174,0,IF('III. INPUT-Baseline'!$G$143=B174,0,IF('III. INPUT-Baseline'!$C$143="Yes",0,(F174-H174))))))</f>
        <v>0</v>
      </c>
      <c r="H175" s="158" t="e">
        <f t="shared" si="42"/>
        <v>#N/A</v>
      </c>
      <c r="I175" s="618">
        <f>IF('III. INPUT-Baseline'!D38=0,0,(H175*'III. INPUT-Baseline'!$C$114*0.68*0.001)*(('III. INPUT-Baseline'!G38-'III. INPUT-Baseline'!H38)/'III. INPUT-Baseline'!E38))</f>
        <v>0</v>
      </c>
      <c r="J175" s="158">
        <f t="shared" si="41"/>
        <v>0</v>
      </c>
    </row>
    <row r="176" spans="2:15" x14ac:dyDescent="0.25">
      <c r="B176" s="556" t="str">
        <f>'III. INPUT-Baseline'!$B$39</f>
        <v>-</v>
      </c>
      <c r="C176" s="594" t="e">
        <f>$C$26</f>
        <v>#N/A</v>
      </c>
      <c r="D176" s="151">
        <f>MIN(0.95, MAX(0.104,EXP(15175*(('III. INPUT-Baseline'!$C$39+273)-303.16)/(1.987*('III. INPUT-Baseline'!$C$39+273)*303.16))))</f>
        <v>0.104</v>
      </c>
      <c r="E176" s="366">
        <f t="shared" si="40"/>
        <v>0</v>
      </c>
      <c r="F176" s="158" t="e">
        <f>(E176*'III. INPUT-Baseline'!F77*'III. INPUT-Baseline'!$F$166*C176*0.8)+G176</f>
        <v>#N/A</v>
      </c>
      <c r="G176" s="593">
        <f>IF('III. INPUT-Baseline'!$I39=TRUE,0,IF('III. INPUT-Baseline'!$E$143=B175,0,IF('III. INPUT-Baseline'!$F$143=B175,0,IF('III. INPUT-Baseline'!$G$143=B175,0,IF('III. INPUT-Baseline'!$C$143="Yes",0,(F175-H175))))))</f>
        <v>0</v>
      </c>
      <c r="H176" s="158" t="e">
        <f t="shared" si="42"/>
        <v>#N/A</v>
      </c>
      <c r="I176" s="618">
        <f>IF('III. INPUT-Baseline'!D39=0,0,(H176*'III. INPUT-Baseline'!$C$114*0.68*0.001)*(('III. INPUT-Baseline'!G39-'III. INPUT-Baseline'!H39)/'III. INPUT-Baseline'!E39))</f>
        <v>0</v>
      </c>
      <c r="J176" s="158">
        <f t="shared" si="41"/>
        <v>0</v>
      </c>
    </row>
    <row r="177" spans="2:17" x14ac:dyDescent="0.25">
      <c r="B177" s="556" t="str">
        <f>'III. INPUT-Baseline'!$B$40</f>
        <v>-</v>
      </c>
      <c r="C177" s="594" t="e">
        <f>$C$27</f>
        <v>#N/A</v>
      </c>
      <c r="D177" s="151">
        <f>MIN(0.95, MAX(0.104,EXP(15175*(('III. INPUT-Baseline'!$C$40+273)-303.16)/(1.987*('III. INPUT-Baseline'!$C$40+273)*303.16))))</f>
        <v>0.104</v>
      </c>
      <c r="E177" s="366">
        <f t="shared" si="40"/>
        <v>0</v>
      </c>
      <c r="F177" s="158" t="e">
        <f>(E177*'III. INPUT-Baseline'!F78*'III. INPUT-Baseline'!$F$166*C177*0.8)+G177</f>
        <v>#N/A</v>
      </c>
      <c r="G177" s="593">
        <f>IF('III. INPUT-Baseline'!$I40=TRUE,0,IF('III. INPUT-Baseline'!$E$143=B176,0,IF('III. INPUT-Baseline'!$F$143=B176,0,IF('III. INPUT-Baseline'!$G$143=B176,0,IF('III. INPUT-Baseline'!$C$143="Yes",0,(F176-H176))))))</f>
        <v>0</v>
      </c>
      <c r="H177" s="158" t="e">
        <f t="shared" si="42"/>
        <v>#N/A</v>
      </c>
      <c r="I177" s="618">
        <f>IF('III. INPUT-Baseline'!D40=0,0,(H177*'III. INPUT-Baseline'!$C$114*0.68*0.001)*(('III. INPUT-Baseline'!G40-'III. INPUT-Baseline'!H40)/'III. INPUT-Baseline'!E40))</f>
        <v>0</v>
      </c>
      <c r="J177" s="158">
        <f t="shared" si="41"/>
        <v>0</v>
      </c>
    </row>
    <row r="178" spans="2:17" x14ac:dyDescent="0.25">
      <c r="B178" s="556" t="str">
        <f>'III. INPUT-Baseline'!$B$41</f>
        <v>-</v>
      </c>
      <c r="C178" s="594" t="e">
        <f>$C$28</f>
        <v>#N/A</v>
      </c>
      <c r="D178" s="151">
        <f>MIN(0.95, MAX(0.104,EXP(15175*(('III. INPUT-Baseline'!$C$41+273)-303.16)/(1.987*('III. INPUT-Baseline'!$C$41+273)*303.16))))</f>
        <v>0.104</v>
      </c>
      <c r="E178" s="366">
        <f t="shared" si="40"/>
        <v>0</v>
      </c>
      <c r="F178" s="158" t="e">
        <f>(E178*'III. INPUT-Baseline'!F79*'III. INPUT-Baseline'!$F$166*C178*0.8)+G178</f>
        <v>#N/A</v>
      </c>
      <c r="G178" s="593">
        <f>IF('III. INPUT-Baseline'!$I41=TRUE,0,IF('III. INPUT-Baseline'!$E$143=B177,0,IF('III. INPUT-Baseline'!$F$143=B177,0,IF('III. INPUT-Baseline'!$G$143=B177,0,IF('III. INPUT-Baseline'!$C$143="Yes",0,(F177-H177))))))</f>
        <v>0</v>
      </c>
      <c r="H178" s="158" t="e">
        <f t="shared" si="42"/>
        <v>#N/A</v>
      </c>
      <c r="I178" s="618">
        <f>IF('III. INPUT-Baseline'!D41=0,0,(H178*'III. INPUT-Baseline'!$C$114*0.68*0.001)*(('III. INPUT-Baseline'!G41-'III. INPUT-Baseline'!H41)/'III. INPUT-Baseline'!E41))</f>
        <v>0</v>
      </c>
      <c r="J178" s="158">
        <f t="shared" si="41"/>
        <v>0</v>
      </c>
    </row>
    <row r="179" spans="2:17" x14ac:dyDescent="0.25">
      <c r="B179" s="556" t="str">
        <f>'III. INPUT-Baseline'!$B$42</f>
        <v>-</v>
      </c>
      <c r="C179" s="594" t="e">
        <f>$C$29</f>
        <v>#N/A</v>
      </c>
      <c r="D179" s="151">
        <f>MIN(0.95, MAX(0.104,EXP(15175*(('III. INPUT-Baseline'!$C$42+273)-303.16)/(1.987*('III. INPUT-Baseline'!$C$42+273)*303.16))))</f>
        <v>0.104</v>
      </c>
      <c r="E179" s="366">
        <f t="shared" si="40"/>
        <v>0</v>
      </c>
      <c r="F179" s="158" t="e">
        <f>(E179*'III. INPUT-Baseline'!F80*'III. INPUT-Baseline'!$F$166*C179*0.8)+G179</f>
        <v>#N/A</v>
      </c>
      <c r="G179" s="593">
        <f>IF('III. INPUT-Baseline'!$I42=TRUE,0,IF('III. INPUT-Baseline'!$E$143=B178,0,IF('III. INPUT-Baseline'!$F$143=B178,0,IF('III. INPUT-Baseline'!$G$143=B178,0,IF('III. INPUT-Baseline'!$C$143="Yes",0,(F178-H178))))))</f>
        <v>0</v>
      </c>
      <c r="H179" s="158" t="e">
        <f t="shared" si="42"/>
        <v>#N/A</v>
      </c>
      <c r="I179" s="618">
        <f>IF('III. INPUT-Baseline'!D42=0,0,(H179*'III. INPUT-Baseline'!$C$114*0.68*0.001)*(('III. INPUT-Baseline'!G42-'III. INPUT-Baseline'!H42)/'III. INPUT-Baseline'!E42))</f>
        <v>0</v>
      </c>
      <c r="J179" s="158">
        <f t="shared" si="41"/>
        <v>0</v>
      </c>
    </row>
    <row r="180" spans="2:17" s="3" customFormat="1" ht="13" x14ac:dyDescent="0.3">
      <c r="B180" s="556" t="str">
        <f>'III. INPUT-Baseline'!$B$43</f>
        <v>-</v>
      </c>
      <c r="C180" s="594" t="e">
        <f>$C$30</f>
        <v>#N/A</v>
      </c>
      <c r="D180" s="151">
        <f>MIN(0.95, MAX(0.104,EXP(15175*(('III. INPUT-Baseline'!$C$43+273)-303.16)/(1.987*('III. INPUT-Baseline'!$C$43+273)*303.16))))</f>
        <v>0.104</v>
      </c>
      <c r="E180" s="366">
        <f t="shared" si="40"/>
        <v>0</v>
      </c>
      <c r="F180" s="158" t="e">
        <f>(E180*'III. INPUT-Baseline'!F81*'III. INPUT-Baseline'!$F$166*C180*0.8)+G180</f>
        <v>#N/A</v>
      </c>
      <c r="G180" s="593">
        <f>IF('III. INPUT-Baseline'!$I43=TRUE,0,IF('III. INPUT-Baseline'!$E$143=B179,0,IF('III. INPUT-Baseline'!$F$143=B179,0,IF('III. INPUT-Baseline'!$G$143=B179,0,IF('III. INPUT-Baseline'!$C$143="Yes",0,(F179-H179))))))</f>
        <v>0</v>
      </c>
      <c r="H180" s="158" t="e">
        <f t="shared" si="42"/>
        <v>#N/A</v>
      </c>
      <c r="I180" s="618">
        <f>IF('III. INPUT-Baseline'!D43=0,0,(H180*'III. INPUT-Baseline'!$C$114*0.68*0.001)*(('III. INPUT-Baseline'!G43-'III. INPUT-Baseline'!H43)/'III. INPUT-Baseline'!E43))</f>
        <v>0</v>
      </c>
      <c r="J180" s="158">
        <f t="shared" si="41"/>
        <v>0</v>
      </c>
      <c r="K180" s="153"/>
      <c r="L180" s="153"/>
      <c r="M180" s="154"/>
      <c r="N180" s="154"/>
      <c r="O180" s="4"/>
      <c r="Q180" s="153"/>
    </row>
    <row r="181" spans="2:17" x14ac:dyDescent="0.25">
      <c r="B181" s="556" t="str">
        <f>'III. INPUT-Baseline'!$B$44</f>
        <v>-</v>
      </c>
      <c r="C181" s="594" t="e">
        <f>$C$31</f>
        <v>#N/A</v>
      </c>
      <c r="D181" s="151">
        <f>MIN(0.95, MAX(0.104,EXP(15175*(('III. INPUT-Baseline'!$C$44+273)-303.16)/(1.987*('III. INPUT-Baseline'!$C$44+273)*303.16))))</f>
        <v>0.104</v>
      </c>
      <c r="E181" s="366">
        <f t="shared" si="40"/>
        <v>0</v>
      </c>
      <c r="F181" s="158" t="e">
        <f>(E181*'III. INPUT-Baseline'!F82*'III. INPUT-Baseline'!$F$166*C181*0.8)+G181</f>
        <v>#N/A</v>
      </c>
      <c r="G181" s="593">
        <f>IF('III. INPUT-Baseline'!$I44=TRUE,0,IF('III. INPUT-Baseline'!$E$143=B180,0,IF('III. INPUT-Baseline'!$F$143=B180,0,IF('III. INPUT-Baseline'!$G$143=B180,0,IF('III. INPUT-Baseline'!$C$143="Yes",0,(F180-H180))))))</f>
        <v>0</v>
      </c>
      <c r="H181" s="158" t="e">
        <f t="shared" si="42"/>
        <v>#N/A</v>
      </c>
      <c r="I181" s="618">
        <f>IF('III. INPUT-Baseline'!D44=0,0,(H181*'III. INPUT-Baseline'!$C$114*0.68*0.001)*(('III. INPUT-Baseline'!G44-'III. INPUT-Baseline'!H44)/'III. INPUT-Baseline'!E44))</f>
        <v>0</v>
      </c>
      <c r="J181" s="158">
        <f t="shared" si="41"/>
        <v>0</v>
      </c>
      <c r="K181" s="94"/>
      <c r="L181" s="94"/>
      <c r="M181" s="94"/>
      <c r="N181" s="156"/>
      <c r="O181" s="94"/>
      <c r="P181" s="156"/>
      <c r="Q181" s="156"/>
    </row>
    <row r="182" spans="2:17" s="3" customFormat="1" ht="13" x14ac:dyDescent="0.3">
      <c r="B182" s="556" t="str">
        <f>'III. INPUT-Baseline'!$B$45</f>
        <v>-</v>
      </c>
      <c r="C182" s="594" t="e">
        <f>$C$32</f>
        <v>#N/A</v>
      </c>
      <c r="D182" s="151">
        <f>MIN(0.95, MAX(0.104,EXP(15175*(('III. INPUT-Baseline'!$C$45+273)-303.16)/(1.987*('III. INPUT-Baseline'!$C$45+273)*303.16))))</f>
        <v>0.104</v>
      </c>
      <c r="E182" s="366">
        <f t="shared" si="40"/>
        <v>0</v>
      </c>
      <c r="F182" s="158" t="e">
        <f>(E182*'III. INPUT-Baseline'!F83*'III. INPUT-Baseline'!$F$166*C182*0.8)+G182</f>
        <v>#N/A</v>
      </c>
      <c r="G182" s="593">
        <f>IF('III. INPUT-Baseline'!$I45=TRUE,0,IF('III. INPUT-Baseline'!$E$143=B181,0,IF('III. INPUT-Baseline'!$F$143=B181,0,IF('III. INPUT-Baseline'!$G$143=B181,0,IF('III. INPUT-Baseline'!$C$143="Yes",0,(F181-H181))))))</f>
        <v>0</v>
      </c>
      <c r="H182" s="158" t="e">
        <f t="shared" si="42"/>
        <v>#N/A</v>
      </c>
      <c r="I182" s="618">
        <f>IF('III. INPUT-Baseline'!D45=0,0,(H182*'III. INPUT-Baseline'!$C$114*0.68*0.001)*(('III. INPUT-Baseline'!G45-'III. INPUT-Baseline'!H45)/'III. INPUT-Baseline'!E45))</f>
        <v>0</v>
      </c>
      <c r="J182" s="158">
        <f t="shared" si="41"/>
        <v>0</v>
      </c>
      <c r="K182" s="4"/>
      <c r="L182" s="4"/>
      <c r="M182" s="4"/>
      <c r="O182" s="4"/>
    </row>
    <row r="183" spans="2:17" ht="13" x14ac:dyDescent="0.3">
      <c r="B183" s="556" t="str">
        <f>'III. INPUT-Baseline'!$B$46</f>
        <v>-</v>
      </c>
      <c r="C183" s="594" t="e">
        <f>$C$33</f>
        <v>#N/A</v>
      </c>
      <c r="D183" s="151">
        <f>MIN(0.95, MAX(0.104,EXP(15175*(('III. INPUT-Baseline'!$C$46+273)-303.16)/(1.987*('III. INPUT-Baseline'!$C$46+273)*303.16))))</f>
        <v>0.104</v>
      </c>
      <c r="E183" s="366">
        <f t="shared" si="40"/>
        <v>0</v>
      </c>
      <c r="F183" s="158" t="e">
        <f>(E183*'III. INPUT-Baseline'!F84*'III. INPUT-Baseline'!$F$166*C183*0.8)+G183</f>
        <v>#N/A</v>
      </c>
      <c r="G183" s="593">
        <f>IF('III. INPUT-Baseline'!$I46=TRUE,0,IF('III. INPUT-Baseline'!$E$143=B182,0,IF('III. INPUT-Baseline'!$F$143=B182,0,IF('III. INPUT-Baseline'!$G$143=B182,0,IF('III. INPUT-Baseline'!$C$143="Yes",0,(F182-H182))))))</f>
        <v>0</v>
      </c>
      <c r="H183" s="158" t="e">
        <f t="shared" si="42"/>
        <v>#N/A</v>
      </c>
      <c r="I183" s="618">
        <f>IF('III. INPUT-Baseline'!D46=0,0,(H183*'III. INPUT-Baseline'!$C$114*0.68*0.001)*(('III. INPUT-Baseline'!G46-'III. INPUT-Baseline'!H46)/'III. INPUT-Baseline'!E46))</f>
        <v>0</v>
      </c>
      <c r="J183" s="158">
        <f t="shared" si="41"/>
        <v>0</v>
      </c>
      <c r="K183" s="4"/>
      <c r="L183" s="4"/>
      <c r="M183" s="4"/>
      <c r="O183" s="49"/>
    </row>
    <row r="184" spans="2:17" ht="13" x14ac:dyDescent="0.3">
      <c r="B184" s="609" t="str">
        <f>'III. INPUT-Baseline'!$B$47</f>
        <v>-</v>
      </c>
      <c r="C184" s="594" t="e">
        <f>$C$34</f>
        <v>#N/A</v>
      </c>
      <c r="D184" s="151">
        <f>MIN(0.95, MAX(0.104,EXP(15175*(('III. INPUT-Baseline'!$C$47+273)-303.16)/(1.987*('III. INPUT-Baseline'!$C$47+273)*303.16))))</f>
        <v>0.104</v>
      </c>
      <c r="E184" s="611">
        <f t="shared" si="40"/>
        <v>0</v>
      </c>
      <c r="F184" s="610" t="e">
        <f>(E184*'III. INPUT-Baseline'!F85*'III. INPUT-Baseline'!$F$166*C184*0.8)+G184</f>
        <v>#N/A</v>
      </c>
      <c r="G184" s="612">
        <f>IF('III. INPUT-Baseline'!$I47=TRUE,0,IF('III. INPUT-Baseline'!$E$143=B183,0,IF('III. INPUT-Baseline'!$F$143=B183,0,IF('III. INPUT-Baseline'!$G$143=B183,0,IF('III. INPUT-Baseline'!$C$143="Yes",0,(F183-H183))))))</f>
        <v>0</v>
      </c>
      <c r="H184" s="610" t="e">
        <f t="shared" ref="H184" si="43">F184*D184</f>
        <v>#N/A</v>
      </c>
      <c r="I184" s="618">
        <f>IF('III. INPUT-Baseline'!D47=0,0,(H184*'III. INPUT-Baseline'!$C$114*0.68*0.001)*(('III. INPUT-Baseline'!G47-'III. INPUT-Baseline'!H47)/'III. INPUT-Baseline'!E47))</f>
        <v>0</v>
      </c>
      <c r="J184" s="610">
        <f t="shared" ref="J184" si="44">I184*gwp_ch4</f>
        <v>0</v>
      </c>
      <c r="K184" s="4"/>
      <c r="L184" s="4"/>
      <c r="M184" s="4"/>
      <c r="O184" s="49"/>
    </row>
    <row r="185" spans="2:17" ht="13" x14ac:dyDescent="0.3">
      <c r="B185" s="596" t="s">
        <v>432</v>
      </c>
      <c r="C185" s="613"/>
      <c r="D185" s="598"/>
      <c r="E185" s="598"/>
      <c r="F185" s="614"/>
      <c r="G185" s="615"/>
      <c r="H185" s="605" t="e">
        <f>SUM(H172:H184)</f>
        <v>#N/A</v>
      </c>
      <c r="I185" s="605">
        <f t="shared" ref="I185:J185" si="45">SUM(I172:I184)</f>
        <v>0</v>
      </c>
      <c r="J185" s="605">
        <f t="shared" si="45"/>
        <v>0</v>
      </c>
      <c r="K185" s="4"/>
      <c r="L185" s="4"/>
      <c r="M185" s="4"/>
      <c r="O185" s="49"/>
    </row>
    <row r="186" spans="2:17" ht="13" x14ac:dyDescent="0.3">
      <c r="B186" s="3"/>
      <c r="C186" s="3"/>
      <c r="D186" s="60"/>
      <c r="E186" s="60"/>
      <c r="F186" s="61"/>
      <c r="G186" s="61"/>
      <c r="H186" s="61"/>
      <c r="I186" s="61"/>
      <c r="J186" s="61"/>
    </row>
    <row r="187" spans="2:17" ht="13" x14ac:dyDescent="0.3">
      <c r="B187" s="3"/>
      <c r="C187" s="49"/>
      <c r="E187" s="656" t="s">
        <v>241</v>
      </c>
      <c r="F187" s="675"/>
      <c r="G187" s="675"/>
      <c r="H187" s="675"/>
      <c r="I187" s="675"/>
      <c r="J187" s="676"/>
    </row>
    <row r="188" spans="2:17" s="3" customFormat="1" ht="26" x14ac:dyDescent="0.3">
      <c r="B188" s="585">
        <f>'III. INPUT-Baseline'!B58</f>
        <v>0</v>
      </c>
      <c r="C188" s="585" t="str">
        <f>'III. INPUT-Baseline'!B125</f>
        <v>Uncovered anaerobic lagoon</v>
      </c>
      <c r="D188" s="149"/>
      <c r="E188" s="677"/>
      <c r="F188" s="678"/>
      <c r="G188" s="678"/>
      <c r="H188" s="678"/>
      <c r="I188" s="678"/>
      <c r="J188" s="679"/>
      <c r="K188" s="153"/>
      <c r="L188" s="153"/>
      <c r="M188" s="154"/>
      <c r="N188" s="154"/>
      <c r="O188" s="4"/>
      <c r="Q188" s="153"/>
    </row>
    <row r="189" spans="2:17" ht="15" x14ac:dyDescent="0.4">
      <c r="B189" s="546" t="s">
        <v>423</v>
      </c>
      <c r="C189" s="586">
        <f>'III. INPUT-Baseline'!D101</f>
        <v>0</v>
      </c>
      <c r="E189" s="680"/>
      <c r="F189" s="681"/>
      <c r="G189" s="681"/>
      <c r="H189" s="681"/>
      <c r="I189" s="681"/>
      <c r="J189" s="682"/>
      <c r="K189" s="94"/>
      <c r="L189" s="94"/>
      <c r="M189" s="94"/>
      <c r="N189" s="156"/>
      <c r="O189" s="94"/>
      <c r="P189" s="156"/>
      <c r="Q189" s="156"/>
    </row>
    <row r="190" spans="2:17" ht="13" x14ac:dyDescent="0.3">
      <c r="B190" s="616"/>
      <c r="C190" s="617"/>
      <c r="E190" s="61"/>
      <c r="F190" s="60"/>
      <c r="G190" s="60"/>
      <c r="H190" s="60"/>
      <c r="I190" s="60"/>
      <c r="J190" s="60"/>
      <c r="K190" s="4"/>
      <c r="L190" s="4"/>
      <c r="M190" s="4"/>
      <c r="O190" s="49"/>
    </row>
    <row r="191" spans="2:17" ht="29" x14ac:dyDescent="0.4">
      <c r="B191" s="136" t="s">
        <v>246</v>
      </c>
      <c r="C191" s="136" t="s">
        <v>424</v>
      </c>
      <c r="D191" s="606" t="s">
        <v>425</v>
      </c>
      <c r="E191" s="590" t="s">
        <v>426</v>
      </c>
      <c r="F191" s="591" t="s">
        <v>427</v>
      </c>
      <c r="G191" s="590" t="s">
        <v>428</v>
      </c>
      <c r="H191" s="591" t="s">
        <v>429</v>
      </c>
      <c r="I191" s="591" t="s">
        <v>430</v>
      </c>
      <c r="J191" s="591" t="s">
        <v>431</v>
      </c>
      <c r="K191" s="34"/>
      <c r="L191" s="34"/>
      <c r="M191" s="34"/>
    </row>
    <row r="192" spans="2:17" x14ac:dyDescent="0.25">
      <c r="B192" s="556" t="str">
        <f>'III. INPUT-Baseline'!$B$35</f>
        <v>-</v>
      </c>
      <c r="C192" s="594" t="e">
        <f>$C$22</f>
        <v>#N/A</v>
      </c>
      <c r="D192" s="151">
        <f>MIN(0.95, MAX(0.104,EXP(15175*(('III. INPUT-Baseline'!$C$35+273)-303.16)/(1.987*('III. INPUT-Baseline'!$C$35+273)*303.16))))</f>
        <v>0.104</v>
      </c>
      <c r="E192" s="366">
        <f t="shared" ref="E192:E204" si="46">$C$189</f>
        <v>0</v>
      </c>
      <c r="F192" s="158" t="e">
        <f>(E192*'III. INPUT-Baseline'!G73*'III. INPUT-Baseline'!$G$165*C192*0.8)+G192</f>
        <v>#N/A</v>
      </c>
      <c r="G192" s="592">
        <v>0</v>
      </c>
      <c r="H192" s="158" t="e">
        <f>F192*D192</f>
        <v>#N/A</v>
      </c>
      <c r="I192" s="618">
        <f>IF('III. INPUT-Baseline'!D35=0,0,(H192*'III. INPUT-Baseline'!$C$115*0.68*0.001)*(('III. INPUT-Baseline'!G35-'III. INPUT-Baseline'!H35)/'III. INPUT-Baseline'!E35))</f>
        <v>0</v>
      </c>
      <c r="J192" s="158">
        <f t="shared" ref="J192:J203" si="47">I192*gwp_ch4</f>
        <v>0</v>
      </c>
    </row>
    <row r="193" spans="2:18" x14ac:dyDescent="0.25">
      <c r="B193" s="556" t="str">
        <f>'III. INPUT-Baseline'!$B$36</f>
        <v>-</v>
      </c>
      <c r="C193" s="594" t="e">
        <f>$C$23</f>
        <v>#N/A</v>
      </c>
      <c r="D193" s="151">
        <f>MIN(0.95, MAX(0.104,EXP(15175*(('III. INPUT-Baseline'!$C$36+273)-303.16)/(1.987*('III. INPUT-Baseline'!$C$36+273)*303.16))))</f>
        <v>0.104</v>
      </c>
      <c r="E193" s="366">
        <f t="shared" si="46"/>
        <v>0</v>
      </c>
      <c r="F193" s="158" t="e">
        <f>(E193*'III. INPUT-Baseline'!G74*'III. INPUT-Baseline'!$G$165*C193*0.8)+G193</f>
        <v>#N/A</v>
      </c>
      <c r="G193" s="593" t="e">
        <f>IF('III. INPUT-Baseline'!$I$36=TRUE,0,IF('III. INPUT-Baseline'!$E$142=B192,0,IF('III. INPUT-Baseline'!$F$142=B192,0,IF('III. INPUT-Baseline'!$G$142=B192,0,IF('III. INPUT-Baseline'!$C$142="Yes",0,(F192-H192))))))</f>
        <v>#N/A</v>
      </c>
      <c r="H193" s="158" t="e">
        <f t="shared" ref="H193:H203" si="48">F193*D193</f>
        <v>#N/A</v>
      </c>
      <c r="I193" s="618">
        <f>IF('III. INPUT-Baseline'!D36=0,0,(H193*'III. INPUT-Baseline'!$C$115*0.68*0.001)*(('III. INPUT-Baseline'!G36-'III. INPUT-Baseline'!H36)/'III. INPUT-Baseline'!E36))</f>
        <v>0</v>
      </c>
      <c r="J193" s="158">
        <f t="shared" si="47"/>
        <v>0</v>
      </c>
    </row>
    <row r="194" spans="2:18" x14ac:dyDescent="0.25">
      <c r="B194" s="556" t="str">
        <f>'III. INPUT-Baseline'!$B$37</f>
        <v>-</v>
      </c>
      <c r="C194" s="594" t="e">
        <f>$C$24</f>
        <v>#N/A</v>
      </c>
      <c r="D194" s="151">
        <f>MIN(0.95, MAX(0.104,EXP(15175*(('III. INPUT-Baseline'!$C$37+273)-303.16)/(1.987*('III. INPUT-Baseline'!$C$37+273)*303.16))))</f>
        <v>0.104</v>
      </c>
      <c r="E194" s="366">
        <f t="shared" si="46"/>
        <v>0</v>
      </c>
      <c r="F194" s="158" t="e">
        <f>(E194*'III. INPUT-Baseline'!G75*'III. INPUT-Baseline'!$G$165*C194*0.8)+G194</f>
        <v>#N/A</v>
      </c>
      <c r="G194" s="593" t="e">
        <f>IF('III. INPUT-Baseline'!$I$37=TRUE,0,IF('III. INPUT-Baseline'!$E$142=B193,0,IF('III. INPUT-Baseline'!$F$142=B193,0,IF('III. INPUT-Baseline'!$G$142=B193,0,IF('III. INPUT-Baseline'!$C$142="Yes",0,(F193-H193))))))</f>
        <v>#N/A</v>
      </c>
      <c r="H194" s="158" t="e">
        <f t="shared" si="48"/>
        <v>#N/A</v>
      </c>
      <c r="I194" s="618">
        <f>IF('III. INPUT-Baseline'!D37=0,0,(H194*'III. INPUT-Baseline'!$C$115*0.68*0.001)*(('III. INPUT-Baseline'!G37-'III. INPUT-Baseline'!H37)/'III. INPUT-Baseline'!E37))</f>
        <v>0</v>
      </c>
      <c r="J194" s="158">
        <f t="shared" si="47"/>
        <v>0</v>
      </c>
    </row>
    <row r="195" spans="2:18" x14ac:dyDescent="0.25">
      <c r="B195" s="556" t="str">
        <f>'III. INPUT-Baseline'!$B$38</f>
        <v>-</v>
      </c>
      <c r="C195" s="594" t="e">
        <f>$C$25</f>
        <v>#N/A</v>
      </c>
      <c r="D195" s="151">
        <f>MIN(0.95, MAX(0.104,EXP(15175*(('III. INPUT-Baseline'!$C$38+273)-303.16)/(1.987*('III. INPUT-Baseline'!$C$38+273)*303.16))))</f>
        <v>0.104</v>
      </c>
      <c r="E195" s="366">
        <f t="shared" si="46"/>
        <v>0</v>
      </c>
      <c r="F195" s="158" t="e">
        <f>(E195*'III. INPUT-Baseline'!G76*'III. INPUT-Baseline'!$G$165*C195*0.8)+G195</f>
        <v>#N/A</v>
      </c>
      <c r="G195" s="593" t="e">
        <f>IF('III. INPUT-Baseline'!$I$38=TRUE,0,IF('III. INPUT-Baseline'!$E$142=B194,0,IF('III. INPUT-Baseline'!$F$142=B194,0,IF('III. INPUT-Baseline'!$G$142=B194,0,IF('III. INPUT-Baseline'!$C$142="Yes",0,(F194-H194))))))</f>
        <v>#N/A</v>
      </c>
      <c r="H195" s="158" t="e">
        <f t="shared" si="48"/>
        <v>#N/A</v>
      </c>
      <c r="I195" s="618">
        <f>IF('III. INPUT-Baseline'!D38=0,0,(H195*'III. INPUT-Baseline'!$C$115*0.68*0.001)*(('III. INPUT-Baseline'!G38-'III. INPUT-Baseline'!H38)/'III. INPUT-Baseline'!E38))</f>
        <v>0</v>
      </c>
      <c r="J195" s="158">
        <f t="shared" si="47"/>
        <v>0</v>
      </c>
    </row>
    <row r="196" spans="2:18" x14ac:dyDescent="0.25">
      <c r="B196" s="556" t="str">
        <f>'III. INPUT-Baseline'!$B$39</f>
        <v>-</v>
      </c>
      <c r="C196" s="594" t="e">
        <f>$C$26</f>
        <v>#N/A</v>
      </c>
      <c r="D196" s="151">
        <f>MIN(0.95, MAX(0.104,EXP(15175*(('III. INPUT-Baseline'!$C$39+273)-303.16)/(1.987*('III. INPUT-Baseline'!$C$39+273)*303.16))))</f>
        <v>0.104</v>
      </c>
      <c r="E196" s="366">
        <f t="shared" si="46"/>
        <v>0</v>
      </c>
      <c r="F196" s="158" t="e">
        <f>(E196*'III. INPUT-Baseline'!G77*'III. INPUT-Baseline'!$G$165*C196*0.8)+G196</f>
        <v>#N/A</v>
      </c>
      <c r="G196" s="593" t="e">
        <f>IF('III. INPUT-Baseline'!$I$39=TRUE,0,IF('III. INPUT-Baseline'!$E$142=B195,0,IF('III. INPUT-Baseline'!$F$142=B195,0,IF('III. INPUT-Baseline'!$G$142=B195,0,IF('III. INPUT-Baseline'!$C$142="Yes",0,(F195-H195))))))</f>
        <v>#N/A</v>
      </c>
      <c r="H196" s="158" t="e">
        <f t="shared" si="48"/>
        <v>#N/A</v>
      </c>
      <c r="I196" s="618">
        <f>IF('III. INPUT-Baseline'!D39=0,0,(H196*'III. INPUT-Baseline'!$C$115*0.68*0.001)*(('III. INPUT-Baseline'!G39-'III. INPUT-Baseline'!H39)/'III. INPUT-Baseline'!E39))</f>
        <v>0</v>
      </c>
      <c r="J196" s="158">
        <f t="shared" si="47"/>
        <v>0</v>
      </c>
    </row>
    <row r="197" spans="2:18" x14ac:dyDescent="0.25">
      <c r="B197" s="556" t="str">
        <f>'III. INPUT-Baseline'!$B$40</f>
        <v>-</v>
      </c>
      <c r="C197" s="594" t="e">
        <f>$C$27</f>
        <v>#N/A</v>
      </c>
      <c r="D197" s="151">
        <f>MIN(0.95, MAX(0.104,EXP(15175*(('III. INPUT-Baseline'!$C$40+273)-303.16)/(1.987*('III. INPUT-Baseline'!$C$40+273)*303.16))))</f>
        <v>0.104</v>
      </c>
      <c r="E197" s="366">
        <f t="shared" si="46"/>
        <v>0</v>
      </c>
      <c r="F197" s="158" t="e">
        <f>(E197*'III. INPUT-Baseline'!G78*'III. INPUT-Baseline'!$G$165*C197*0.8)+G197</f>
        <v>#N/A</v>
      </c>
      <c r="G197" s="593" t="e">
        <f>IF('III. INPUT-Baseline'!$I$40=TRUE,0,IF('III. INPUT-Baseline'!$E$142=B196,0,IF('III. INPUT-Baseline'!$F$142=B196,0,IF('III. INPUT-Baseline'!$G$142=B196,0,IF('III. INPUT-Baseline'!$C$142="Yes",0,(F196-H196))))))</f>
        <v>#N/A</v>
      </c>
      <c r="H197" s="158" t="e">
        <f t="shared" si="48"/>
        <v>#N/A</v>
      </c>
      <c r="I197" s="618">
        <f>IF('III. INPUT-Baseline'!D40=0,0,(H197*'III. INPUT-Baseline'!$C$115*0.68*0.001)*(('III. INPUT-Baseline'!G40-'III. INPUT-Baseline'!H40)/'III. INPUT-Baseline'!E40))</f>
        <v>0</v>
      </c>
      <c r="J197" s="158">
        <f t="shared" si="47"/>
        <v>0</v>
      </c>
    </row>
    <row r="198" spans="2:18" x14ac:dyDescent="0.25">
      <c r="B198" s="556" t="str">
        <f>'III. INPUT-Baseline'!$B$41</f>
        <v>-</v>
      </c>
      <c r="C198" s="594" t="e">
        <f>$C$28</f>
        <v>#N/A</v>
      </c>
      <c r="D198" s="151">
        <f>MIN(0.95, MAX(0.104,EXP(15175*(('III. INPUT-Baseline'!$C$41+273)-303.16)/(1.987*('III. INPUT-Baseline'!$C$41+273)*303.16))))</f>
        <v>0.104</v>
      </c>
      <c r="E198" s="366">
        <f t="shared" si="46"/>
        <v>0</v>
      </c>
      <c r="F198" s="158" t="e">
        <f>(E198*'III. INPUT-Baseline'!G79*'III. INPUT-Baseline'!$G$165*C198*0.8)+G198</f>
        <v>#N/A</v>
      </c>
      <c r="G198" s="593" t="e">
        <f>IF('III. INPUT-Baseline'!$I$41=TRUE,0,IF('III. INPUT-Baseline'!$E$142=B197,0,IF('III. INPUT-Baseline'!$F$142=B197,0,IF('III. INPUT-Baseline'!$G$142=B197,0,IF('III. INPUT-Baseline'!$C$142="Yes",0,(F197-H197))))))</f>
        <v>#N/A</v>
      </c>
      <c r="H198" s="158" t="e">
        <f t="shared" si="48"/>
        <v>#N/A</v>
      </c>
      <c r="I198" s="618">
        <f>IF('III. INPUT-Baseline'!D41=0,0,(H198*'III. INPUT-Baseline'!$C$115*0.68*0.001)*(('III. INPUT-Baseline'!G41-'III. INPUT-Baseline'!H41)/'III. INPUT-Baseline'!E41))</f>
        <v>0</v>
      </c>
      <c r="J198" s="158">
        <f t="shared" si="47"/>
        <v>0</v>
      </c>
    </row>
    <row r="199" spans="2:18" x14ac:dyDescent="0.25">
      <c r="B199" s="556" t="str">
        <f>'III. INPUT-Baseline'!$B$42</f>
        <v>-</v>
      </c>
      <c r="C199" s="594" t="e">
        <f>$C$29</f>
        <v>#N/A</v>
      </c>
      <c r="D199" s="151">
        <f>MIN(0.95, MAX(0.104,EXP(15175*(('III. INPUT-Baseline'!$C$42+273)-303.16)/(1.987*('III. INPUT-Baseline'!$C$42+273)*303.16))))</f>
        <v>0.104</v>
      </c>
      <c r="E199" s="366">
        <f t="shared" si="46"/>
        <v>0</v>
      </c>
      <c r="F199" s="158" t="e">
        <f>(E199*'III. INPUT-Baseline'!G80*'III. INPUT-Baseline'!$G$165*C199*0.8)+G199</f>
        <v>#N/A</v>
      </c>
      <c r="G199" s="593" t="e">
        <f>IF('III. INPUT-Baseline'!$I$42=TRUE,0,IF('III. INPUT-Baseline'!$E$142=B198,0,IF('III. INPUT-Baseline'!$F$142=B198,0,IF('III. INPUT-Baseline'!$G$142=B198,0,IF('III. INPUT-Baseline'!$C$142="Yes",0,(F198-H198))))))</f>
        <v>#N/A</v>
      </c>
      <c r="H199" s="158" t="e">
        <f t="shared" si="48"/>
        <v>#N/A</v>
      </c>
      <c r="I199" s="618">
        <f>IF('III. INPUT-Baseline'!D42=0,0,(H199*'III. INPUT-Baseline'!$C$115*0.68*0.001)*(('III. INPUT-Baseline'!G42-'III. INPUT-Baseline'!H42)/'III. INPUT-Baseline'!E42))</f>
        <v>0</v>
      </c>
      <c r="J199" s="158">
        <f t="shared" si="47"/>
        <v>0</v>
      </c>
    </row>
    <row r="200" spans="2:18" s="3" customFormat="1" ht="13" x14ac:dyDescent="0.3">
      <c r="B200" s="556" t="str">
        <f>'III. INPUT-Baseline'!$B$43</f>
        <v>-</v>
      </c>
      <c r="C200" s="594" t="e">
        <f>$C$30</f>
        <v>#N/A</v>
      </c>
      <c r="D200" s="151">
        <f>MIN(0.95, MAX(0.104,EXP(15175*(('III. INPUT-Baseline'!$C$43+273)-303.16)/(1.987*('III. INPUT-Baseline'!$C$43+273)*303.16))))</f>
        <v>0.104</v>
      </c>
      <c r="E200" s="366">
        <f t="shared" si="46"/>
        <v>0</v>
      </c>
      <c r="F200" s="158" t="e">
        <f>(E200*'III. INPUT-Baseline'!G81*'III. INPUT-Baseline'!$G$165*C200*0.8)+G200</f>
        <v>#N/A</v>
      </c>
      <c r="G200" s="593" t="e">
        <f>IF('III. INPUT-Baseline'!$I$43=TRUE,0,IF('III. INPUT-Baseline'!$E$142=B199,0,IF('III. INPUT-Baseline'!$F$142=B199,0,IF('III. INPUT-Baseline'!$G$142=B199,0,IF('III. INPUT-Baseline'!$C$142="Yes",0,(F199-H199))))))</f>
        <v>#N/A</v>
      </c>
      <c r="H200" s="158" t="e">
        <f t="shared" si="48"/>
        <v>#N/A</v>
      </c>
      <c r="I200" s="618">
        <f>IF('III. INPUT-Baseline'!D43=0,0,(H200*'III. INPUT-Baseline'!$C$115*0.68*0.001)*(('III. INPUT-Baseline'!G43-'III. INPUT-Baseline'!H43)/'III. INPUT-Baseline'!E43))</f>
        <v>0</v>
      </c>
      <c r="J200" s="158">
        <f t="shared" si="47"/>
        <v>0</v>
      </c>
      <c r="K200" s="153"/>
      <c r="L200" s="153"/>
      <c r="M200" s="154"/>
      <c r="N200" s="154"/>
      <c r="O200" s="4"/>
      <c r="Q200" s="153"/>
    </row>
    <row r="201" spans="2:18" x14ac:dyDescent="0.25">
      <c r="B201" s="556" t="str">
        <f>'III. INPUT-Baseline'!$B$44</f>
        <v>-</v>
      </c>
      <c r="C201" s="594" t="e">
        <f>$C$31</f>
        <v>#N/A</v>
      </c>
      <c r="D201" s="151">
        <f>MIN(0.95, MAX(0.104,EXP(15175*(('III. INPUT-Baseline'!$C$44+273)-303.16)/(1.987*('III. INPUT-Baseline'!$C$44+273)*303.16))))</f>
        <v>0.104</v>
      </c>
      <c r="E201" s="366">
        <f t="shared" si="46"/>
        <v>0</v>
      </c>
      <c r="F201" s="158" t="e">
        <f>(E201*'III. INPUT-Baseline'!G82*'III. INPUT-Baseline'!$G$165*C201*0.8)+G201</f>
        <v>#N/A</v>
      </c>
      <c r="G201" s="593" t="e">
        <f>IF('III. INPUT-Baseline'!$I$44=TRUE,0,IF('III. INPUT-Baseline'!$E$142=B200,0,IF('III. INPUT-Baseline'!$F$142=B200,0,IF('III. INPUT-Baseline'!$G$142=B200,0,IF('III. INPUT-Baseline'!$C$142="Yes",0,(F200-H200))))))</f>
        <v>#N/A</v>
      </c>
      <c r="H201" s="158" t="e">
        <f t="shared" si="48"/>
        <v>#N/A</v>
      </c>
      <c r="I201" s="618">
        <f>IF('III. INPUT-Baseline'!D44=0,0,(H201*'III. INPUT-Baseline'!$C$115*0.68*0.001)*(('III. INPUT-Baseline'!G44-'III. INPUT-Baseline'!H44)/'III. INPUT-Baseline'!E44))</f>
        <v>0</v>
      </c>
      <c r="J201" s="158">
        <f t="shared" si="47"/>
        <v>0</v>
      </c>
      <c r="K201" s="94"/>
      <c r="L201" s="94"/>
      <c r="M201" s="94"/>
      <c r="N201" s="156"/>
      <c r="O201" s="94"/>
      <c r="P201" s="156"/>
      <c r="Q201" s="156"/>
    </row>
    <row r="202" spans="2:18" s="3" customFormat="1" ht="13" x14ac:dyDescent="0.3">
      <c r="B202" s="556" t="str">
        <f>'III. INPUT-Baseline'!$B$45</f>
        <v>-</v>
      </c>
      <c r="C202" s="594" t="e">
        <f>$C$32</f>
        <v>#N/A</v>
      </c>
      <c r="D202" s="151">
        <f>MIN(0.95, MAX(0.104,EXP(15175*(('III. INPUT-Baseline'!$C$45+273)-303.16)/(1.987*('III. INPUT-Baseline'!$C$45+273)*303.16))))</f>
        <v>0.104</v>
      </c>
      <c r="E202" s="366">
        <f t="shared" si="46"/>
        <v>0</v>
      </c>
      <c r="F202" s="158" t="e">
        <f>(E202*'III. INPUT-Baseline'!G83*'III. INPUT-Baseline'!$G$165*C202*0.8)+G202</f>
        <v>#N/A</v>
      </c>
      <c r="G202" s="593" t="e">
        <f>IF('III. INPUT-Baseline'!$I$45=TRUE,0,IF('III. INPUT-Baseline'!$E$142=B201,0,IF('III. INPUT-Baseline'!$F$142=B201,0,IF('III. INPUT-Baseline'!$G$142=B201,0,IF('III. INPUT-Baseline'!$C$142="Yes",0,(F201-H201))))))</f>
        <v>#N/A</v>
      </c>
      <c r="H202" s="158" t="e">
        <f t="shared" si="48"/>
        <v>#N/A</v>
      </c>
      <c r="I202" s="618">
        <f>IF('III. INPUT-Baseline'!D45=0,0,(H202*'III. INPUT-Baseline'!$C$115*0.68*0.001)*(('III. INPUT-Baseline'!G45-'III. INPUT-Baseline'!H45)/'III. INPUT-Baseline'!E45))</f>
        <v>0</v>
      </c>
      <c r="J202" s="158">
        <f t="shared" si="47"/>
        <v>0</v>
      </c>
      <c r="K202" s="4"/>
      <c r="L202" s="4"/>
      <c r="M202" s="4"/>
      <c r="O202" s="4"/>
    </row>
    <row r="203" spans="2:18" ht="13" x14ac:dyDescent="0.3">
      <c r="B203" s="556" t="str">
        <f>'III. INPUT-Baseline'!$B$46</f>
        <v>-</v>
      </c>
      <c r="C203" s="594" t="e">
        <f>$C$33</f>
        <v>#N/A</v>
      </c>
      <c r="D203" s="151">
        <f>MIN(0.95, MAX(0.104,EXP(15175*(('III. INPUT-Baseline'!$C$46+273)-303.16)/(1.987*('III. INPUT-Baseline'!$C$46+273)*303.16))))</f>
        <v>0.104</v>
      </c>
      <c r="E203" s="366">
        <f t="shared" si="46"/>
        <v>0</v>
      </c>
      <c r="F203" s="158" t="e">
        <f>(E203*'III. INPUT-Baseline'!G84*'III. INPUT-Baseline'!$G$165*C203*0.8)+G203</f>
        <v>#N/A</v>
      </c>
      <c r="G203" s="593" t="e">
        <f>IF('III. INPUT-Baseline'!$I$46=TRUE,0,IF('III. INPUT-Baseline'!$E$142=B202,0,IF('III. INPUT-Baseline'!$F$142=B202,0,IF('III. INPUT-Baseline'!$G$142=B202,0,IF('III. INPUT-Baseline'!$C$142="Yes",0,(F202-H202))))))</f>
        <v>#N/A</v>
      </c>
      <c r="H203" s="158" t="e">
        <f t="shared" si="48"/>
        <v>#N/A</v>
      </c>
      <c r="I203" s="618">
        <f>IF('III. INPUT-Baseline'!D46=0,0,(H203*'III. INPUT-Baseline'!$C$115*0.68*0.001)*(('III. INPUT-Baseline'!G46-'III. INPUT-Baseline'!H46)/'III. INPUT-Baseline'!E46))</f>
        <v>0</v>
      </c>
      <c r="J203" s="158">
        <f t="shared" si="47"/>
        <v>0</v>
      </c>
      <c r="K203" s="4"/>
      <c r="L203" s="4"/>
      <c r="M203" s="4"/>
      <c r="O203" s="49"/>
    </row>
    <row r="204" spans="2:18" ht="13" x14ac:dyDescent="0.3">
      <c r="B204" s="609" t="str">
        <f>'III. INPUT-Baseline'!$B$47</f>
        <v>-</v>
      </c>
      <c r="C204" s="594" t="e">
        <f>$C$34</f>
        <v>#N/A</v>
      </c>
      <c r="D204" s="151">
        <f>MIN(0.95, MAX(0.104,EXP(15175*(('III. INPUT-Baseline'!$C$47+273)-303.16)/(1.987*('III. INPUT-Baseline'!$C$47+273)*303.16))))</f>
        <v>0.104</v>
      </c>
      <c r="E204" s="611">
        <f t="shared" si="46"/>
        <v>0</v>
      </c>
      <c r="F204" s="610" t="e">
        <f>(E204*'III. INPUT-Baseline'!G85*'III. INPUT-Baseline'!$G$165*C204*0.8)+G204</f>
        <v>#N/A</v>
      </c>
      <c r="G204" s="612" t="e">
        <f>IF('III. INPUT-Baseline'!$I$46=TRUE,0,IF('III. INPUT-Baseline'!$E$142=B203,0,IF('III. INPUT-Baseline'!$F$142=B203,0,IF('III. INPUT-Baseline'!$G$142=B203,0,IF('III. INPUT-Baseline'!$C$142="Yes",0,(F203-H203))))))</f>
        <v>#N/A</v>
      </c>
      <c r="H204" s="610" t="e">
        <f t="shared" ref="H204" si="49">F204*D204</f>
        <v>#N/A</v>
      </c>
      <c r="I204" s="618">
        <f>IF('III. INPUT-Baseline'!D47=0,0,(H204*'III. INPUT-Baseline'!$C$115*0.68*0.001)*(('III. INPUT-Baseline'!G47-'III. INPUT-Baseline'!H47)/'III. INPUT-Baseline'!E47))</f>
        <v>0</v>
      </c>
      <c r="J204" s="610">
        <f t="shared" ref="J204" si="50">I204*gwp_ch4</f>
        <v>0</v>
      </c>
      <c r="K204" s="4"/>
      <c r="L204" s="4"/>
      <c r="M204" s="4"/>
      <c r="O204" s="49"/>
    </row>
    <row r="205" spans="2:18" ht="13" x14ac:dyDescent="0.3">
      <c r="B205" s="596" t="s">
        <v>432</v>
      </c>
      <c r="C205" s="613"/>
      <c r="D205" s="598"/>
      <c r="E205" s="598"/>
      <c r="F205" s="614"/>
      <c r="G205" s="615"/>
      <c r="H205" s="605" t="e">
        <f>SUM(H192:H204)</f>
        <v>#N/A</v>
      </c>
      <c r="I205" s="605">
        <f t="shared" ref="I205:J205" si="51">SUM(I192:I204)</f>
        <v>0</v>
      </c>
      <c r="J205" s="605">
        <f t="shared" si="51"/>
        <v>0</v>
      </c>
      <c r="K205" s="4"/>
      <c r="L205" s="4"/>
      <c r="M205" s="4"/>
      <c r="O205" s="49"/>
    </row>
    <row r="206" spans="2:18" ht="13" x14ac:dyDescent="0.3">
      <c r="B206" s="3"/>
      <c r="C206" s="3"/>
      <c r="D206" s="60"/>
      <c r="E206" s="60"/>
      <c r="F206" s="61"/>
      <c r="G206" s="61"/>
      <c r="H206" s="61"/>
      <c r="I206" s="61"/>
      <c r="J206" s="61"/>
      <c r="K206" s="4"/>
      <c r="L206" s="4"/>
      <c r="M206" s="4"/>
      <c r="O206" s="4"/>
      <c r="P206" s="34"/>
      <c r="Q206" s="34"/>
      <c r="R206" s="34"/>
    </row>
    <row r="207" spans="2:18" ht="13" x14ac:dyDescent="0.3">
      <c r="B207" s="4"/>
      <c r="C207" s="4"/>
      <c r="D207" s="163"/>
      <c r="E207" s="656" t="s">
        <v>241</v>
      </c>
      <c r="F207" s="675"/>
      <c r="G207" s="675"/>
      <c r="H207" s="675"/>
      <c r="I207" s="675"/>
      <c r="J207" s="676"/>
      <c r="K207" s="34"/>
      <c r="L207" s="34"/>
      <c r="M207" s="34"/>
    </row>
    <row r="208" spans="2:18" ht="13" x14ac:dyDescent="0.3">
      <c r="B208" s="3"/>
      <c r="C208" s="49"/>
      <c r="E208" s="677"/>
      <c r="F208" s="678"/>
      <c r="G208" s="678"/>
      <c r="H208" s="678"/>
      <c r="I208" s="678"/>
      <c r="J208" s="679"/>
      <c r="K208" s="94"/>
      <c r="L208" s="94"/>
    </row>
    <row r="209" spans="2:17" ht="13" x14ac:dyDescent="0.3">
      <c r="B209" s="3"/>
      <c r="C209" s="49"/>
      <c r="E209" s="680"/>
      <c r="F209" s="681"/>
      <c r="G209" s="681"/>
      <c r="H209" s="681"/>
      <c r="I209" s="681"/>
      <c r="J209" s="682"/>
    </row>
    <row r="210" spans="2:17" ht="13" x14ac:dyDescent="0.3">
      <c r="B210" s="585">
        <f>B188</f>
        <v>0</v>
      </c>
      <c r="C210" s="585">
        <f>'III. INPUT-Baseline'!B126</f>
        <v>0</v>
      </c>
      <c r="D210" s="149"/>
      <c r="E210" s="60"/>
      <c r="F210" s="60"/>
      <c r="G210" s="60"/>
      <c r="H210" s="60"/>
      <c r="I210" s="60"/>
      <c r="J210" s="60"/>
    </row>
    <row r="211" spans="2:17" ht="15" x14ac:dyDescent="0.4">
      <c r="B211" s="546" t="s">
        <v>423</v>
      </c>
      <c r="C211" s="586">
        <f>C189</f>
        <v>0</v>
      </c>
      <c r="E211" s="61"/>
      <c r="F211" s="60"/>
      <c r="G211" s="60"/>
      <c r="H211" s="60"/>
      <c r="I211" s="60"/>
      <c r="J211" s="60"/>
    </row>
    <row r="212" spans="2:17" ht="13" x14ac:dyDescent="0.3">
      <c r="B212" s="616"/>
      <c r="C212" s="617"/>
      <c r="E212" s="61"/>
      <c r="F212" s="60"/>
      <c r="G212" s="60"/>
      <c r="H212" s="60"/>
      <c r="I212" s="60"/>
      <c r="J212" s="60"/>
    </row>
    <row r="213" spans="2:17" ht="29" x14ac:dyDescent="0.4">
      <c r="B213" s="136" t="s">
        <v>246</v>
      </c>
      <c r="C213" s="136" t="s">
        <v>424</v>
      </c>
      <c r="D213" s="606" t="s">
        <v>425</v>
      </c>
      <c r="E213" s="590" t="s">
        <v>426</v>
      </c>
      <c r="F213" s="591" t="s">
        <v>427</v>
      </c>
      <c r="G213" s="590" t="s">
        <v>428</v>
      </c>
      <c r="H213" s="591" t="s">
        <v>429</v>
      </c>
      <c r="I213" s="591" t="s">
        <v>430</v>
      </c>
      <c r="J213" s="591" t="s">
        <v>431</v>
      </c>
      <c r="K213" s="34"/>
      <c r="L213" s="34"/>
      <c r="M213" s="34"/>
    </row>
    <row r="214" spans="2:17" x14ac:dyDescent="0.25">
      <c r="B214" s="556" t="str">
        <f>'III. INPUT-Baseline'!$B$35</f>
        <v>-</v>
      </c>
      <c r="C214" s="594" t="e">
        <f>$C$22</f>
        <v>#N/A</v>
      </c>
      <c r="D214" s="151">
        <f>MIN(0.95, MAX(0.104,EXP(15175*(('III. INPUT-Baseline'!$C$35+273)-303.16)/(1.987*('III. INPUT-Baseline'!$C$35+273)*303.16))))</f>
        <v>0.104</v>
      </c>
      <c r="E214" s="366">
        <f t="shared" ref="E214:E226" si="52">$C$211</f>
        <v>0</v>
      </c>
      <c r="F214" s="158" t="e">
        <f>(E214*'III. INPUT-Baseline'!G73*'III. INPUT-Baseline'!$G$166*C214*0.8)+G214</f>
        <v>#N/A</v>
      </c>
      <c r="G214" s="592">
        <v>0</v>
      </c>
      <c r="H214" s="158" t="e">
        <f>F214*D214</f>
        <v>#N/A</v>
      </c>
      <c r="I214" s="618">
        <f>IF('III. INPUT-Baseline'!D35=0,0,(H214*'III. INPUT-Baseline'!$C$115*0.68*0.001)*(('III. INPUT-Baseline'!G35-'III. INPUT-Baseline'!H35)/'III. INPUT-Baseline'!E35))</f>
        <v>0</v>
      </c>
      <c r="J214" s="158">
        <f t="shared" ref="J214:J225" si="53">I214*gwp_ch4</f>
        <v>0</v>
      </c>
    </row>
    <row r="215" spans="2:17" x14ac:dyDescent="0.25">
      <c r="B215" s="556" t="str">
        <f>'III. INPUT-Baseline'!$B$36</f>
        <v>-</v>
      </c>
      <c r="C215" s="594" t="e">
        <f>$C$23</f>
        <v>#N/A</v>
      </c>
      <c r="D215" s="151">
        <f>MIN(0.95, MAX(0.104,EXP(15175*(('III. INPUT-Baseline'!$C$36+273)-303.16)/(1.987*('III. INPUT-Baseline'!$C$36+273)*303.16))))</f>
        <v>0.104</v>
      </c>
      <c r="E215" s="366">
        <f t="shared" si="52"/>
        <v>0</v>
      </c>
      <c r="F215" s="158" t="e">
        <f>(E215*'III. INPUT-Baseline'!G74*'III. INPUT-Baseline'!$G$166*C215*0.8)+G215</f>
        <v>#N/A</v>
      </c>
      <c r="G215" s="593">
        <f>IF('III. INPUT-Baseline'!$I36=TRUE,0,IF('III. INPUT-Baseline'!$E$143=B214,0,IF('III. INPUT-Baseline'!$F$143=B214,0,IF('III. INPUT-Baseline'!$G$143=B214,0,IF('III. INPUT-Baseline'!$C$143="Yes",0,(F214-H214))))))</f>
        <v>0</v>
      </c>
      <c r="H215" s="158" t="e">
        <f t="shared" ref="H215:H225" si="54">F215*D215</f>
        <v>#N/A</v>
      </c>
      <c r="I215" s="618">
        <f>IF('III. INPUT-Baseline'!D36=0,0,(H215*'III. INPUT-Baseline'!$C$115*0.68*0.001)*(('III. INPUT-Baseline'!G36-'III. INPUT-Baseline'!H36)/'III. INPUT-Baseline'!E36))</f>
        <v>0</v>
      </c>
      <c r="J215" s="158">
        <f t="shared" si="53"/>
        <v>0</v>
      </c>
    </row>
    <row r="216" spans="2:17" x14ac:dyDescent="0.25">
      <c r="B216" s="556" t="str">
        <f>'III. INPUT-Baseline'!$B$37</f>
        <v>-</v>
      </c>
      <c r="C216" s="594" t="e">
        <f>$C$24</f>
        <v>#N/A</v>
      </c>
      <c r="D216" s="151">
        <f>MIN(0.95, MAX(0.104,EXP(15175*(('III. INPUT-Baseline'!$C$37+273)-303.16)/(1.987*('III. INPUT-Baseline'!$C$37+273)*303.16))))</f>
        <v>0.104</v>
      </c>
      <c r="E216" s="366">
        <f t="shared" si="52"/>
        <v>0</v>
      </c>
      <c r="F216" s="158" t="e">
        <f>(E216*'III. INPUT-Baseline'!G75*'III. INPUT-Baseline'!$G$166*C216*0.8)+G216</f>
        <v>#N/A</v>
      </c>
      <c r="G216" s="593">
        <f>IF('III. INPUT-Baseline'!$I37=TRUE,0,IF('III. INPUT-Baseline'!$E$143=B215,0,IF('III. INPUT-Baseline'!$F$143=B215,0,IF('III. INPUT-Baseline'!$G$143=B215,0,IF('III. INPUT-Baseline'!$C$143="Yes",0,(F215-H215))))))</f>
        <v>0</v>
      </c>
      <c r="H216" s="158" t="e">
        <f t="shared" si="54"/>
        <v>#N/A</v>
      </c>
      <c r="I216" s="618">
        <f>IF('III. INPUT-Baseline'!D37=0,0,(H216*'III. INPUT-Baseline'!$C$115*0.68*0.001)*(('III. INPUT-Baseline'!G37-'III. INPUT-Baseline'!H37)/'III. INPUT-Baseline'!E37))</f>
        <v>0</v>
      </c>
      <c r="J216" s="158">
        <f t="shared" si="53"/>
        <v>0</v>
      </c>
    </row>
    <row r="217" spans="2:17" x14ac:dyDescent="0.25">
      <c r="B217" s="556" t="str">
        <f>'III. INPUT-Baseline'!$B$38</f>
        <v>-</v>
      </c>
      <c r="C217" s="594" t="e">
        <f>$C$25</f>
        <v>#N/A</v>
      </c>
      <c r="D217" s="151">
        <f>MIN(0.95, MAX(0.104,EXP(15175*(('III. INPUT-Baseline'!$C$38+273)-303.16)/(1.987*('III. INPUT-Baseline'!$C$38+273)*303.16))))</f>
        <v>0.104</v>
      </c>
      <c r="E217" s="366">
        <f t="shared" si="52"/>
        <v>0</v>
      </c>
      <c r="F217" s="158" t="e">
        <f>(E217*'III. INPUT-Baseline'!G76*'III. INPUT-Baseline'!$G$166*C217*0.8)+G217</f>
        <v>#N/A</v>
      </c>
      <c r="G217" s="593">
        <f>IF('III. INPUT-Baseline'!$I38=TRUE,0,IF('III. INPUT-Baseline'!$E$143=B216,0,IF('III. INPUT-Baseline'!$F$143=B216,0,IF('III. INPUT-Baseline'!$G$143=B216,0,IF('III. INPUT-Baseline'!$C$143="Yes",0,(F216-H216))))))</f>
        <v>0</v>
      </c>
      <c r="H217" s="158" t="e">
        <f t="shared" si="54"/>
        <v>#N/A</v>
      </c>
      <c r="I217" s="618">
        <f>IF('III. INPUT-Baseline'!D38=0,0,(H217*'III. INPUT-Baseline'!$C$115*0.68*0.001)*(('III. INPUT-Baseline'!G38-'III. INPUT-Baseline'!H38)/'III. INPUT-Baseline'!E38))</f>
        <v>0</v>
      </c>
      <c r="J217" s="158">
        <f t="shared" si="53"/>
        <v>0</v>
      </c>
    </row>
    <row r="218" spans="2:17" x14ac:dyDescent="0.25">
      <c r="B218" s="556" t="str">
        <f>'III. INPUT-Baseline'!$B$39</f>
        <v>-</v>
      </c>
      <c r="C218" s="594" t="e">
        <f>$C$26</f>
        <v>#N/A</v>
      </c>
      <c r="D218" s="151">
        <f>MIN(0.95, MAX(0.104,EXP(15175*(('III. INPUT-Baseline'!$C$39+273)-303.16)/(1.987*('III. INPUT-Baseline'!$C$39+273)*303.16))))</f>
        <v>0.104</v>
      </c>
      <c r="E218" s="366">
        <f t="shared" si="52"/>
        <v>0</v>
      </c>
      <c r="F218" s="158" t="e">
        <f>(E218*'III. INPUT-Baseline'!G77*'III. INPUT-Baseline'!$G$166*C218*0.8)+G218</f>
        <v>#N/A</v>
      </c>
      <c r="G218" s="593">
        <f>IF('III. INPUT-Baseline'!$I39=TRUE,0,IF('III. INPUT-Baseline'!$E$143=B217,0,IF('III. INPUT-Baseline'!$F$143=B217,0,IF('III. INPUT-Baseline'!$G$143=B217,0,IF('III. INPUT-Baseline'!$C$143="Yes",0,(F217-H217))))))</f>
        <v>0</v>
      </c>
      <c r="H218" s="158" t="e">
        <f t="shared" si="54"/>
        <v>#N/A</v>
      </c>
      <c r="I218" s="618">
        <f>IF('III. INPUT-Baseline'!D39=0,0,(H218*'III. INPUT-Baseline'!$C$115*0.68*0.001)*(('III. INPUT-Baseline'!G39-'III. INPUT-Baseline'!H39)/'III. INPUT-Baseline'!E39))</f>
        <v>0</v>
      </c>
      <c r="J218" s="158">
        <f t="shared" si="53"/>
        <v>0</v>
      </c>
    </row>
    <row r="219" spans="2:17" x14ac:dyDescent="0.25">
      <c r="B219" s="556" t="str">
        <f>'III. INPUT-Baseline'!$B$40</f>
        <v>-</v>
      </c>
      <c r="C219" s="594" t="e">
        <f>$C$27</f>
        <v>#N/A</v>
      </c>
      <c r="D219" s="151">
        <f>MIN(0.95, MAX(0.104,EXP(15175*(('III. INPUT-Baseline'!$C$40+273)-303.16)/(1.987*('III. INPUT-Baseline'!$C$40+273)*303.16))))</f>
        <v>0.104</v>
      </c>
      <c r="E219" s="366">
        <f t="shared" si="52"/>
        <v>0</v>
      </c>
      <c r="F219" s="158" t="e">
        <f>(E219*'III. INPUT-Baseline'!G78*'III. INPUT-Baseline'!$G$166*C219*0.8)+G219</f>
        <v>#N/A</v>
      </c>
      <c r="G219" s="593">
        <f>IF('III. INPUT-Baseline'!$I40=TRUE,0,IF('III. INPUT-Baseline'!$E$143=B218,0,IF('III. INPUT-Baseline'!$F$143=B218,0,IF('III. INPUT-Baseline'!$G$143=B218,0,IF('III. INPUT-Baseline'!$C$143="Yes",0,(F218-H218))))))</f>
        <v>0</v>
      </c>
      <c r="H219" s="158" t="e">
        <f t="shared" si="54"/>
        <v>#N/A</v>
      </c>
      <c r="I219" s="618">
        <f>IF('III. INPUT-Baseline'!D40=0,0,(H219*'III. INPUT-Baseline'!$C$115*0.68*0.001)*(('III. INPUT-Baseline'!G40-'III. INPUT-Baseline'!H40)/'III. INPUT-Baseline'!E40))</f>
        <v>0</v>
      </c>
      <c r="J219" s="158">
        <f t="shared" si="53"/>
        <v>0</v>
      </c>
    </row>
    <row r="220" spans="2:17" x14ac:dyDescent="0.25">
      <c r="B220" s="556" t="str">
        <f>'III. INPUT-Baseline'!$B$41</f>
        <v>-</v>
      </c>
      <c r="C220" s="594" t="e">
        <f>$C$28</f>
        <v>#N/A</v>
      </c>
      <c r="D220" s="151">
        <f>MIN(0.95, MAX(0.104,EXP(15175*(('III. INPUT-Baseline'!$C$41+273)-303.16)/(1.987*('III. INPUT-Baseline'!$C$41+273)*303.16))))</f>
        <v>0.104</v>
      </c>
      <c r="E220" s="366">
        <f t="shared" si="52"/>
        <v>0</v>
      </c>
      <c r="F220" s="158" t="e">
        <f>(E220*'III. INPUT-Baseline'!G79*'III. INPUT-Baseline'!$G$166*C220*0.8)+G220</f>
        <v>#N/A</v>
      </c>
      <c r="G220" s="593">
        <f>IF('III. INPUT-Baseline'!$I41=TRUE,0,IF('III. INPUT-Baseline'!$E$143=B219,0,IF('III. INPUT-Baseline'!$F$143=B219,0,IF('III. INPUT-Baseline'!$G$143=B219,0,IF('III. INPUT-Baseline'!$C$143="Yes",0,(F219-H219))))))</f>
        <v>0</v>
      </c>
      <c r="H220" s="158" t="e">
        <f t="shared" si="54"/>
        <v>#N/A</v>
      </c>
      <c r="I220" s="618">
        <f>IF('III. INPUT-Baseline'!D41=0,0,(H220*'III. INPUT-Baseline'!$C$115*0.68*0.001)*(('III. INPUT-Baseline'!G41-'III. INPUT-Baseline'!H41)/'III. INPUT-Baseline'!E41))</f>
        <v>0</v>
      </c>
      <c r="J220" s="158">
        <f t="shared" si="53"/>
        <v>0</v>
      </c>
    </row>
    <row r="221" spans="2:17" x14ac:dyDescent="0.25">
      <c r="B221" s="556" t="str">
        <f>'III. INPUT-Baseline'!$B$42</f>
        <v>-</v>
      </c>
      <c r="C221" s="594" t="e">
        <f>$C$29</f>
        <v>#N/A</v>
      </c>
      <c r="D221" s="151">
        <f>MIN(0.95, MAX(0.104,EXP(15175*(('III. INPUT-Baseline'!$C$42+273)-303.16)/(1.987*('III. INPUT-Baseline'!$C$42+273)*303.16))))</f>
        <v>0.104</v>
      </c>
      <c r="E221" s="366">
        <f t="shared" si="52"/>
        <v>0</v>
      </c>
      <c r="F221" s="158" t="e">
        <f>(E221*'III. INPUT-Baseline'!G80*'III. INPUT-Baseline'!$G$166*C221*0.8)+G221</f>
        <v>#N/A</v>
      </c>
      <c r="G221" s="593">
        <f>IF('III. INPUT-Baseline'!$I42=TRUE,0,IF('III. INPUT-Baseline'!$E$143=B220,0,IF('III. INPUT-Baseline'!$F$143=B220,0,IF('III. INPUT-Baseline'!$G$143=B220,0,IF('III. INPUT-Baseline'!$C$143="Yes",0,(F220-H220))))))</f>
        <v>0</v>
      </c>
      <c r="H221" s="158" t="e">
        <f t="shared" si="54"/>
        <v>#N/A</v>
      </c>
      <c r="I221" s="618">
        <f>IF('III. INPUT-Baseline'!D42=0,0,(H221*'III. INPUT-Baseline'!$C$115*0.68*0.001)*(('III. INPUT-Baseline'!G42-'III. INPUT-Baseline'!H42)/'III. INPUT-Baseline'!E42))</f>
        <v>0</v>
      </c>
      <c r="J221" s="158">
        <f t="shared" si="53"/>
        <v>0</v>
      </c>
    </row>
    <row r="222" spans="2:17" s="3" customFormat="1" ht="13" x14ac:dyDescent="0.3">
      <c r="B222" s="556" t="str">
        <f>'III. INPUT-Baseline'!$B$43</f>
        <v>-</v>
      </c>
      <c r="C222" s="594" t="e">
        <f>$C$30</f>
        <v>#N/A</v>
      </c>
      <c r="D222" s="151">
        <f>MIN(0.95, MAX(0.104,EXP(15175*(('III. INPUT-Baseline'!$C$43+273)-303.16)/(1.987*('III. INPUT-Baseline'!$C$43+273)*303.16))))</f>
        <v>0.104</v>
      </c>
      <c r="E222" s="366">
        <f t="shared" si="52"/>
        <v>0</v>
      </c>
      <c r="F222" s="158" t="e">
        <f>(E222*'III. INPUT-Baseline'!G81*'III. INPUT-Baseline'!$G$166*C222*0.8)+G222</f>
        <v>#N/A</v>
      </c>
      <c r="G222" s="593">
        <f>IF('III. INPUT-Baseline'!$I43=TRUE,0,IF('III. INPUT-Baseline'!$E$143=B221,0,IF('III. INPUT-Baseline'!$F$143=B221,0,IF('III. INPUT-Baseline'!$G$143=B221,0,IF('III. INPUT-Baseline'!$C$143="Yes",0,(F221-H221))))))</f>
        <v>0</v>
      </c>
      <c r="H222" s="158" t="e">
        <f t="shared" si="54"/>
        <v>#N/A</v>
      </c>
      <c r="I222" s="618">
        <f>IF('III. INPUT-Baseline'!D43=0,0,(H222*'III. INPUT-Baseline'!$C$115*0.68*0.001)*(('III. INPUT-Baseline'!G43-'III. INPUT-Baseline'!H43)/'III. INPUT-Baseline'!E43))</f>
        <v>0</v>
      </c>
      <c r="J222" s="158">
        <f t="shared" si="53"/>
        <v>0</v>
      </c>
      <c r="K222" s="153"/>
      <c r="L222" s="153"/>
      <c r="M222" s="154"/>
      <c r="N222" s="154"/>
      <c r="O222" s="4"/>
      <c r="Q222" s="153"/>
    </row>
    <row r="223" spans="2:17" x14ac:dyDescent="0.25">
      <c r="B223" s="556" t="str">
        <f>'III. INPUT-Baseline'!$B$44</f>
        <v>-</v>
      </c>
      <c r="C223" s="594" t="e">
        <f>$C$31</f>
        <v>#N/A</v>
      </c>
      <c r="D223" s="151">
        <f>MIN(0.95, MAX(0.104,EXP(15175*(('III. INPUT-Baseline'!$C$44+273)-303.16)/(1.987*('III. INPUT-Baseline'!$C$44+273)*303.16))))</f>
        <v>0.104</v>
      </c>
      <c r="E223" s="366">
        <f t="shared" si="52"/>
        <v>0</v>
      </c>
      <c r="F223" s="158" t="e">
        <f>(E223*'III. INPUT-Baseline'!G82*'III. INPUT-Baseline'!$G$166*C223*0.8)+G223</f>
        <v>#N/A</v>
      </c>
      <c r="G223" s="593">
        <f>IF('III. INPUT-Baseline'!$I44=TRUE,0,IF('III. INPUT-Baseline'!$E$143=B222,0,IF('III. INPUT-Baseline'!$F$143=B222,0,IF('III. INPUT-Baseline'!$G$143=B222,0,IF('III. INPUT-Baseline'!$C$143="Yes",0,(F222-H222))))))</f>
        <v>0</v>
      </c>
      <c r="H223" s="158" t="e">
        <f t="shared" si="54"/>
        <v>#N/A</v>
      </c>
      <c r="I223" s="618">
        <f>IF('III. INPUT-Baseline'!D44=0,0,(H223*'III. INPUT-Baseline'!$C$115*0.68*0.001)*(('III. INPUT-Baseline'!G44-'III. INPUT-Baseline'!H44)/'III. INPUT-Baseline'!E44))</f>
        <v>0</v>
      </c>
      <c r="J223" s="158">
        <f t="shared" si="53"/>
        <v>0</v>
      </c>
      <c r="K223" s="94"/>
      <c r="L223" s="94"/>
      <c r="M223" s="94"/>
      <c r="N223" s="156"/>
      <c r="O223" s="94"/>
      <c r="P223" s="156"/>
      <c r="Q223" s="156"/>
    </row>
    <row r="224" spans="2:17" s="3" customFormat="1" ht="13" x14ac:dyDescent="0.3">
      <c r="B224" s="556" t="str">
        <f>'III. INPUT-Baseline'!$B$45</f>
        <v>-</v>
      </c>
      <c r="C224" s="594" t="e">
        <f>$C$32</f>
        <v>#N/A</v>
      </c>
      <c r="D224" s="151">
        <f>MIN(0.95, MAX(0.104,EXP(15175*(('III. INPUT-Baseline'!$C$45+273)-303.16)/(1.987*('III. INPUT-Baseline'!$C$45+273)*303.16))))</f>
        <v>0.104</v>
      </c>
      <c r="E224" s="366">
        <f t="shared" si="52"/>
        <v>0</v>
      </c>
      <c r="F224" s="158" t="e">
        <f>(E224*'III. INPUT-Baseline'!G83*'III. INPUT-Baseline'!$G$166*C224*0.8)+G224</f>
        <v>#N/A</v>
      </c>
      <c r="G224" s="593">
        <f>IF('III. INPUT-Baseline'!$I45=TRUE,0,IF('III. INPUT-Baseline'!$E$143=B223,0,IF('III. INPUT-Baseline'!$F$143=B223,0,IF('III. INPUT-Baseline'!$G$143=B223,0,IF('III. INPUT-Baseline'!$C$143="Yes",0,(F223-H223))))))</f>
        <v>0</v>
      </c>
      <c r="H224" s="158" t="e">
        <f t="shared" si="54"/>
        <v>#N/A</v>
      </c>
      <c r="I224" s="618">
        <f>IF('III. INPUT-Baseline'!D45=0,0,(H224*'III. INPUT-Baseline'!$C$115*0.68*0.001)*(('III. INPUT-Baseline'!G45-'III. INPUT-Baseline'!H45)/'III. INPUT-Baseline'!E45))</f>
        <v>0</v>
      </c>
      <c r="J224" s="158">
        <f t="shared" si="53"/>
        <v>0</v>
      </c>
      <c r="K224" s="4"/>
      <c r="L224" s="4"/>
      <c r="M224" s="4"/>
      <c r="O224" s="4"/>
    </row>
    <row r="225" spans="2:15" ht="13" x14ac:dyDescent="0.3">
      <c r="B225" s="556" t="str">
        <f>'III. INPUT-Baseline'!$B$46</f>
        <v>-</v>
      </c>
      <c r="C225" s="594" t="e">
        <f>$C$33</f>
        <v>#N/A</v>
      </c>
      <c r="D225" s="151">
        <f>MIN(0.95, MAX(0.104,EXP(15175*(('III. INPUT-Baseline'!$C$46+273)-303.16)/(1.987*('III. INPUT-Baseline'!$C$46+273)*303.16))))</f>
        <v>0.104</v>
      </c>
      <c r="E225" s="366">
        <f t="shared" si="52"/>
        <v>0</v>
      </c>
      <c r="F225" s="158" t="e">
        <f>(E225*'III. INPUT-Baseline'!G84*'III. INPUT-Baseline'!$G$166*C225*0.8)+G225</f>
        <v>#N/A</v>
      </c>
      <c r="G225" s="593">
        <f>IF('III. INPUT-Baseline'!$I46=TRUE,0,IF('III. INPUT-Baseline'!$E$143=B224,0,IF('III. INPUT-Baseline'!$F$143=B224,0,IF('III. INPUT-Baseline'!$G$143=B224,0,IF('III. INPUT-Baseline'!$C$143="Yes",0,(F224-H224))))))</f>
        <v>0</v>
      </c>
      <c r="H225" s="158" t="e">
        <f t="shared" si="54"/>
        <v>#N/A</v>
      </c>
      <c r="I225" s="618">
        <f>IF('III. INPUT-Baseline'!D46=0,0,(H225*'III. INPUT-Baseline'!$C$115*0.68*0.001)*(('III. INPUT-Baseline'!G46-'III. INPUT-Baseline'!H46)/'III. INPUT-Baseline'!E46))</f>
        <v>0</v>
      </c>
      <c r="J225" s="158">
        <f t="shared" si="53"/>
        <v>0</v>
      </c>
      <c r="K225" s="4"/>
      <c r="L225" s="4"/>
      <c r="M225" s="4"/>
      <c r="O225" s="49"/>
    </row>
    <row r="226" spans="2:15" ht="13" x14ac:dyDescent="0.3">
      <c r="B226" s="609" t="str">
        <f>'III. INPUT-Baseline'!$B$47</f>
        <v>-</v>
      </c>
      <c r="C226" s="594" t="e">
        <f>$C$34</f>
        <v>#N/A</v>
      </c>
      <c r="D226" s="151">
        <f>MIN(0.95, MAX(0.104,EXP(15175*(('III. INPUT-Baseline'!$C$47+273)-303.16)/(1.987*('III. INPUT-Baseline'!$C$47+273)*303.16))))</f>
        <v>0.104</v>
      </c>
      <c r="E226" s="611">
        <f t="shared" si="52"/>
        <v>0</v>
      </c>
      <c r="F226" s="610" t="e">
        <f>(E226*'III. INPUT-Baseline'!G85*'III. INPUT-Baseline'!$G$166*C226*0.8)+G226</f>
        <v>#N/A</v>
      </c>
      <c r="G226" s="612">
        <f>IF('III. INPUT-Baseline'!$I47=TRUE,0,IF('III. INPUT-Baseline'!$E$143=B225,0,IF('III. INPUT-Baseline'!$F$143=B225,0,IF('III. INPUT-Baseline'!$G$143=B225,0,IF('III. INPUT-Baseline'!$C$143="Yes",0,(F225-H225))))))</f>
        <v>0</v>
      </c>
      <c r="H226" s="610" t="e">
        <f t="shared" ref="H226" si="55">F226*D226</f>
        <v>#N/A</v>
      </c>
      <c r="I226" s="618">
        <f>IF('III. INPUT-Baseline'!D47=0,0,(H226*'III. INPUT-Baseline'!$C$115*0.68*0.001)*(('III. INPUT-Baseline'!G47-'III. INPUT-Baseline'!H47)/'III. INPUT-Baseline'!E47))</f>
        <v>0</v>
      </c>
      <c r="J226" s="610">
        <f t="shared" ref="J226" si="56">I226*gwp_ch4</f>
        <v>0</v>
      </c>
      <c r="K226" s="4"/>
      <c r="L226" s="4"/>
      <c r="M226" s="4"/>
      <c r="O226" s="49"/>
    </row>
    <row r="227" spans="2:15" ht="13" x14ac:dyDescent="0.3">
      <c r="B227" s="596" t="s">
        <v>432</v>
      </c>
      <c r="C227" s="613"/>
      <c r="D227" s="598"/>
      <c r="E227" s="598"/>
      <c r="F227" s="614"/>
      <c r="G227" s="615"/>
      <c r="H227" s="605" t="e">
        <f>SUM(H214:H226)</f>
        <v>#N/A</v>
      </c>
      <c r="I227" s="605">
        <f t="shared" ref="I227:J227" si="57">SUM(I214:I226)</f>
        <v>0</v>
      </c>
      <c r="J227" s="605">
        <f t="shared" si="57"/>
        <v>0</v>
      </c>
      <c r="K227" s="4"/>
      <c r="L227" s="4"/>
      <c r="M227" s="4"/>
      <c r="O227" s="49"/>
    </row>
    <row r="228" spans="2:15" ht="13" x14ac:dyDescent="0.3">
      <c r="B228" s="3"/>
      <c r="C228" s="3"/>
      <c r="D228" s="60"/>
      <c r="E228" s="60"/>
      <c r="F228" s="61"/>
      <c r="G228" s="61"/>
      <c r="H228" s="61"/>
      <c r="I228" s="61"/>
      <c r="J228" s="61"/>
    </row>
    <row r="229" spans="2:15" ht="13" x14ac:dyDescent="0.3">
      <c r="B229" s="3"/>
      <c r="C229" s="49"/>
      <c r="E229" s="656" t="s">
        <v>241</v>
      </c>
      <c r="F229" s="675"/>
      <c r="G229" s="675"/>
      <c r="H229" s="675"/>
      <c r="I229" s="675"/>
      <c r="J229" s="676"/>
    </row>
    <row r="230" spans="2:15" ht="13" x14ac:dyDescent="0.3">
      <c r="B230" s="3"/>
      <c r="C230" s="49"/>
      <c r="E230" s="677"/>
      <c r="F230" s="678"/>
      <c r="G230" s="678"/>
      <c r="H230" s="678"/>
      <c r="I230" s="678"/>
      <c r="J230" s="679"/>
    </row>
    <row r="231" spans="2:15" ht="26" x14ac:dyDescent="0.3">
      <c r="B231" s="585">
        <f>'III. INPUT-Baseline'!B59</f>
        <v>0</v>
      </c>
      <c r="C231" s="585" t="str">
        <f>'III. INPUT-Baseline'!B125</f>
        <v>Uncovered anaerobic lagoon</v>
      </c>
      <c r="D231" s="149"/>
      <c r="E231" s="680"/>
      <c r="F231" s="681"/>
      <c r="G231" s="681"/>
      <c r="H231" s="681"/>
      <c r="I231" s="681"/>
      <c r="J231" s="682"/>
    </row>
    <row r="232" spans="2:15" ht="15" x14ac:dyDescent="0.4">
      <c r="B232" s="546" t="s">
        <v>423</v>
      </c>
      <c r="C232" s="586">
        <f>'III. INPUT-Baseline'!D102</f>
        <v>0</v>
      </c>
      <c r="E232" s="61"/>
      <c r="F232" s="60"/>
      <c r="G232" s="60"/>
      <c r="H232" s="60"/>
      <c r="I232" s="60"/>
      <c r="J232" s="60"/>
    </row>
    <row r="233" spans="2:15" ht="13" x14ac:dyDescent="0.3">
      <c r="B233" s="616"/>
      <c r="C233" s="617"/>
      <c r="E233" s="61"/>
      <c r="F233" s="60"/>
      <c r="G233" s="60"/>
      <c r="H233" s="60"/>
      <c r="I233" s="60"/>
      <c r="J233" s="60"/>
    </row>
    <row r="234" spans="2:15" ht="29" x14ac:dyDescent="0.4">
      <c r="B234" s="136" t="s">
        <v>246</v>
      </c>
      <c r="C234" s="136" t="s">
        <v>424</v>
      </c>
      <c r="D234" s="606" t="s">
        <v>425</v>
      </c>
      <c r="E234" s="590" t="s">
        <v>426</v>
      </c>
      <c r="F234" s="591" t="s">
        <v>434</v>
      </c>
      <c r="G234" s="590" t="s">
        <v>428</v>
      </c>
      <c r="H234" s="591" t="s">
        <v>429</v>
      </c>
      <c r="I234" s="591" t="s">
        <v>430</v>
      </c>
      <c r="J234" s="591" t="s">
        <v>431</v>
      </c>
      <c r="K234" s="34"/>
      <c r="L234" s="34"/>
      <c r="M234" s="34"/>
    </row>
    <row r="235" spans="2:15" x14ac:dyDescent="0.25">
      <c r="B235" s="556" t="str">
        <f>'III. INPUT-Baseline'!$B$35</f>
        <v>-</v>
      </c>
      <c r="C235" s="594" t="e">
        <f>$C$22</f>
        <v>#N/A</v>
      </c>
      <c r="D235" s="151">
        <f>MIN(0.95, MAX(0.104,EXP(15175*(('III. INPUT-Baseline'!$C$35+273)-303.16)/(1.987*('III. INPUT-Baseline'!$C$35+273)*303.16))))</f>
        <v>0.104</v>
      </c>
      <c r="E235" s="366">
        <f t="shared" ref="E235:E247" si="58">$C$232</f>
        <v>0</v>
      </c>
      <c r="F235" s="158" t="e">
        <f>(E235*'III. INPUT-Baseline'!H73*'III. INPUT-Baseline'!$H$165*C235*0.8)+G235</f>
        <v>#N/A</v>
      </c>
      <c r="G235" s="592">
        <v>0</v>
      </c>
      <c r="H235" s="158" t="e">
        <f>F235*D235</f>
        <v>#N/A</v>
      </c>
      <c r="I235" s="618">
        <f>IF('III. INPUT-Baseline'!D35=0,0,(H235*'III. INPUT-Baseline'!$C$116*0.68*0.001)*(('III. INPUT-Baseline'!G35-'III. INPUT-Baseline'!H35)/'III. INPUT-Baseline'!E35))</f>
        <v>0</v>
      </c>
      <c r="J235" s="158">
        <f t="shared" ref="J235:J246" si="59">I235*gwp_ch4</f>
        <v>0</v>
      </c>
    </row>
    <row r="236" spans="2:15" x14ac:dyDescent="0.25">
      <c r="B236" s="556" t="str">
        <f>'III. INPUT-Baseline'!$B$36</f>
        <v>-</v>
      </c>
      <c r="C236" s="594" t="e">
        <f>$C$23</f>
        <v>#N/A</v>
      </c>
      <c r="D236" s="151">
        <f>MIN(0.95, MAX(0.104,EXP(15175*(('III. INPUT-Baseline'!$C$36+273)-303.16)/(1.987*('III. INPUT-Baseline'!$C$36+273)*303.16))))</f>
        <v>0.104</v>
      </c>
      <c r="E236" s="366">
        <f t="shared" si="58"/>
        <v>0</v>
      </c>
      <c r="F236" s="158" t="e">
        <f>(E236*'III. INPUT-Baseline'!H74*'III. INPUT-Baseline'!$H$165*C236*0.8)+G236</f>
        <v>#N/A</v>
      </c>
      <c r="G236" s="593" t="e">
        <f>IF('III. INPUT-Baseline'!$I$36=TRUE,0,IF('III. INPUT-Baseline'!$E$142=B235,0,IF('III. INPUT-Baseline'!$F$142=B235,0,IF('III. INPUT-Baseline'!$G$142=B235,0,IF('III. INPUT-Baseline'!$C$142="Yes",0,(F235-H235))))))</f>
        <v>#N/A</v>
      </c>
      <c r="H236" s="158" t="e">
        <f t="shared" ref="H236:H246" si="60">F236*D236</f>
        <v>#N/A</v>
      </c>
      <c r="I236" s="618">
        <f>IF('III. INPUT-Baseline'!D36=0,0,(H236*'III. INPUT-Baseline'!$C$116*0.68*0.001)*(('III. INPUT-Baseline'!G36-'III. INPUT-Baseline'!H36)/'III. INPUT-Baseline'!E36))</f>
        <v>0</v>
      </c>
      <c r="J236" s="158">
        <f t="shared" si="59"/>
        <v>0</v>
      </c>
    </row>
    <row r="237" spans="2:15" x14ac:dyDescent="0.25">
      <c r="B237" s="556" t="str">
        <f>'III. INPUT-Baseline'!$B$37</f>
        <v>-</v>
      </c>
      <c r="C237" s="594" t="e">
        <f>$C$24</f>
        <v>#N/A</v>
      </c>
      <c r="D237" s="151">
        <f>MIN(0.95, MAX(0.104,EXP(15175*(('III. INPUT-Baseline'!$C$37+273)-303.16)/(1.987*('III. INPUT-Baseline'!$C$37+273)*303.16))))</f>
        <v>0.104</v>
      </c>
      <c r="E237" s="366">
        <f t="shared" si="58"/>
        <v>0</v>
      </c>
      <c r="F237" s="158" t="e">
        <f>(E237*'III. INPUT-Baseline'!H75*'III. INPUT-Baseline'!$H$165*C237*0.8)+G237</f>
        <v>#N/A</v>
      </c>
      <c r="G237" s="593" t="e">
        <f>IF('III. INPUT-Baseline'!$I$37=TRUE,0,IF('III. INPUT-Baseline'!$E$142=B236,0,IF('III. INPUT-Baseline'!$F$142=B236,0,IF('III. INPUT-Baseline'!$G$142=B236,0,IF('III. INPUT-Baseline'!$C$142="Yes",0,(F236-H236))))))</f>
        <v>#N/A</v>
      </c>
      <c r="H237" s="158" t="e">
        <f t="shared" si="60"/>
        <v>#N/A</v>
      </c>
      <c r="I237" s="618">
        <f>IF('III. INPUT-Baseline'!D37=0,0,(H237*'III. INPUT-Baseline'!$C$116*0.68*0.001)*(('III. INPUT-Baseline'!G37-'III. INPUT-Baseline'!H37)/'III. INPUT-Baseline'!E37))</f>
        <v>0</v>
      </c>
      <c r="J237" s="158">
        <f t="shared" si="59"/>
        <v>0</v>
      </c>
    </row>
    <row r="238" spans="2:15" x14ac:dyDescent="0.25">
      <c r="B238" s="556" t="str">
        <f>'III. INPUT-Baseline'!$B$38</f>
        <v>-</v>
      </c>
      <c r="C238" s="594" t="e">
        <f>$C$25</f>
        <v>#N/A</v>
      </c>
      <c r="D238" s="151">
        <f>MIN(0.95, MAX(0.104,EXP(15175*(('III. INPUT-Baseline'!$C$38+273)-303.16)/(1.987*('III. INPUT-Baseline'!$C$38+273)*303.16))))</f>
        <v>0.104</v>
      </c>
      <c r="E238" s="366">
        <f t="shared" si="58"/>
        <v>0</v>
      </c>
      <c r="F238" s="158" t="e">
        <f>(E238*'III. INPUT-Baseline'!H76*'III. INPUT-Baseline'!$H$165*C238*0.8)+G238</f>
        <v>#N/A</v>
      </c>
      <c r="G238" s="593" t="e">
        <f>IF('III. INPUT-Baseline'!$I$38=TRUE,0,IF('III. INPUT-Baseline'!$E$142=B237,0,IF('III. INPUT-Baseline'!$F$142=B237,0,IF('III. INPUT-Baseline'!$G$142=B237,0,IF('III. INPUT-Baseline'!$C$142="Yes",0,(F237-H237))))))</f>
        <v>#N/A</v>
      </c>
      <c r="H238" s="158" t="e">
        <f t="shared" si="60"/>
        <v>#N/A</v>
      </c>
      <c r="I238" s="618">
        <f>IF('III. INPUT-Baseline'!D38=0,0,(H238*'III. INPUT-Baseline'!$C$116*0.68*0.001)*(('III. INPUT-Baseline'!G38-'III. INPUT-Baseline'!H38)/'III. INPUT-Baseline'!E38))</f>
        <v>0</v>
      </c>
      <c r="J238" s="158">
        <f t="shared" si="59"/>
        <v>0</v>
      </c>
    </row>
    <row r="239" spans="2:15" x14ac:dyDescent="0.25">
      <c r="B239" s="556" t="str">
        <f>'III. INPUT-Baseline'!$B$39</f>
        <v>-</v>
      </c>
      <c r="C239" s="594" t="e">
        <f>$C$26</f>
        <v>#N/A</v>
      </c>
      <c r="D239" s="151">
        <f>MIN(0.95, MAX(0.104,EXP(15175*(('III. INPUT-Baseline'!$C$39+273)-303.16)/(1.987*('III. INPUT-Baseline'!$C$39+273)*303.16))))</f>
        <v>0.104</v>
      </c>
      <c r="E239" s="366">
        <f t="shared" si="58"/>
        <v>0</v>
      </c>
      <c r="F239" s="158" t="e">
        <f>(E239*'III. INPUT-Baseline'!H77*'III. INPUT-Baseline'!$H$165*C239*0.8)+G239</f>
        <v>#N/A</v>
      </c>
      <c r="G239" s="593" t="e">
        <f>IF('III. INPUT-Baseline'!$I$39=TRUE,0,IF('III. INPUT-Baseline'!$E$142=B238,0,IF('III. INPUT-Baseline'!$F$142=B238,0,IF('III. INPUT-Baseline'!$G$142=B238,0,IF('III. INPUT-Baseline'!$C$142="Yes",0,(F238-H238))))))</f>
        <v>#N/A</v>
      </c>
      <c r="H239" s="158" t="e">
        <f t="shared" si="60"/>
        <v>#N/A</v>
      </c>
      <c r="I239" s="618">
        <f>IF('III. INPUT-Baseline'!D39=0,0,(H239*'III. INPUT-Baseline'!$C$116*0.68*0.001)*(('III. INPUT-Baseline'!G39-'III. INPUT-Baseline'!H39)/'III. INPUT-Baseline'!E39))</f>
        <v>0</v>
      </c>
      <c r="J239" s="158">
        <f t="shared" si="59"/>
        <v>0</v>
      </c>
    </row>
    <row r="240" spans="2:15" x14ac:dyDescent="0.25">
      <c r="B240" s="556" t="str">
        <f>'III. INPUT-Baseline'!$B$40</f>
        <v>-</v>
      </c>
      <c r="C240" s="594" t="e">
        <f>$C$27</f>
        <v>#N/A</v>
      </c>
      <c r="D240" s="151">
        <f>MIN(0.95, MAX(0.104,EXP(15175*(('III. INPUT-Baseline'!$C$40+273)-303.16)/(1.987*('III. INPUT-Baseline'!$C$40+273)*303.16))))</f>
        <v>0.104</v>
      </c>
      <c r="E240" s="366">
        <f t="shared" si="58"/>
        <v>0</v>
      </c>
      <c r="F240" s="158" t="e">
        <f>(E240*'III. INPUT-Baseline'!H78*'III. INPUT-Baseline'!$H$165*C240*0.8)+G240</f>
        <v>#N/A</v>
      </c>
      <c r="G240" s="593" t="e">
        <f>IF('III. INPUT-Baseline'!$I$40=TRUE,0,IF('III. INPUT-Baseline'!$E$142=B239,0,IF('III. INPUT-Baseline'!$F$142=B239,0,IF('III. INPUT-Baseline'!$G$142=B239,0,IF('III. INPUT-Baseline'!$C$142="Yes",0,(F239-H239))))))</f>
        <v>#N/A</v>
      </c>
      <c r="H240" s="158" t="e">
        <f t="shared" si="60"/>
        <v>#N/A</v>
      </c>
      <c r="I240" s="618">
        <f>IF('III. INPUT-Baseline'!D40=0,0,(H240*'III. INPUT-Baseline'!$C$116*0.68*0.001)*(('III. INPUT-Baseline'!G40-'III. INPUT-Baseline'!H40)/'III. INPUT-Baseline'!E40))</f>
        <v>0</v>
      </c>
      <c r="J240" s="158">
        <f t="shared" si="59"/>
        <v>0</v>
      </c>
    </row>
    <row r="241" spans="2:17" x14ac:dyDescent="0.25">
      <c r="B241" s="556" t="str">
        <f>'III. INPUT-Baseline'!$B$41</f>
        <v>-</v>
      </c>
      <c r="C241" s="594" t="e">
        <f>$C$28</f>
        <v>#N/A</v>
      </c>
      <c r="D241" s="151">
        <f>MIN(0.95, MAX(0.104,EXP(15175*(('III. INPUT-Baseline'!$C$41+273)-303.16)/(1.987*('III. INPUT-Baseline'!$C$41+273)*303.16))))</f>
        <v>0.104</v>
      </c>
      <c r="E241" s="366">
        <f t="shared" si="58"/>
        <v>0</v>
      </c>
      <c r="F241" s="158" t="e">
        <f>(E241*'III. INPUT-Baseline'!H79*'III. INPUT-Baseline'!$H$165*C241*0.8)+G241</f>
        <v>#N/A</v>
      </c>
      <c r="G241" s="593" t="e">
        <f>IF('III. INPUT-Baseline'!$I$41=TRUE,0,IF('III. INPUT-Baseline'!$E$142=B240,0,IF('III. INPUT-Baseline'!$F$142=B240,0,IF('III. INPUT-Baseline'!$G$142=B240,0,IF('III. INPUT-Baseline'!$C$142="Yes",0,(F240-H240))))))</f>
        <v>#N/A</v>
      </c>
      <c r="H241" s="158" t="e">
        <f t="shared" si="60"/>
        <v>#N/A</v>
      </c>
      <c r="I241" s="618">
        <f>IF('III. INPUT-Baseline'!D41=0,0,(H241*'III. INPUT-Baseline'!$C$116*0.68*0.001)*(('III. INPUT-Baseline'!G41-'III. INPUT-Baseline'!H41)/'III. INPUT-Baseline'!E41))</f>
        <v>0</v>
      </c>
      <c r="J241" s="158">
        <f t="shared" si="59"/>
        <v>0</v>
      </c>
    </row>
    <row r="242" spans="2:17" x14ac:dyDescent="0.25">
      <c r="B242" s="556" t="str">
        <f>'III. INPUT-Baseline'!$B$42</f>
        <v>-</v>
      </c>
      <c r="C242" s="594" t="e">
        <f>$C$29</f>
        <v>#N/A</v>
      </c>
      <c r="D242" s="151">
        <f>MIN(0.95, MAX(0.104,EXP(15175*(('III. INPUT-Baseline'!$C$42+273)-303.16)/(1.987*('III. INPUT-Baseline'!$C$42+273)*303.16))))</f>
        <v>0.104</v>
      </c>
      <c r="E242" s="366">
        <f t="shared" si="58"/>
        <v>0</v>
      </c>
      <c r="F242" s="158" t="e">
        <f>(E242*'III. INPUT-Baseline'!H80*'III. INPUT-Baseline'!$H$165*C242*0.8)+G242</f>
        <v>#N/A</v>
      </c>
      <c r="G242" s="593" t="e">
        <f>IF('III. INPUT-Baseline'!$I$42=TRUE,0,IF('III. INPUT-Baseline'!$E$142=B241,0,IF('III. INPUT-Baseline'!$F$142=B241,0,IF('III. INPUT-Baseline'!$G$142=B241,0,IF('III. INPUT-Baseline'!$C$142="Yes",0,(F241-H241))))))</f>
        <v>#N/A</v>
      </c>
      <c r="H242" s="158" t="e">
        <f t="shared" si="60"/>
        <v>#N/A</v>
      </c>
      <c r="I242" s="618">
        <f>IF('III. INPUT-Baseline'!D42=0,0,(H242*'III. INPUT-Baseline'!$C$116*0.68*0.001)*(('III. INPUT-Baseline'!G42-'III. INPUT-Baseline'!H42)/'III. INPUT-Baseline'!E42))</f>
        <v>0</v>
      </c>
      <c r="J242" s="158">
        <f t="shared" si="59"/>
        <v>0</v>
      </c>
    </row>
    <row r="243" spans="2:17" s="3" customFormat="1" ht="13" x14ac:dyDescent="0.3">
      <c r="B243" s="556" t="str">
        <f>'III. INPUT-Baseline'!$B$43</f>
        <v>-</v>
      </c>
      <c r="C243" s="594" t="e">
        <f>$C$30</f>
        <v>#N/A</v>
      </c>
      <c r="D243" s="151">
        <f>MIN(0.95, MAX(0.104,EXP(15175*(('III. INPUT-Baseline'!$C$43+273)-303.16)/(1.987*('III. INPUT-Baseline'!$C$43+273)*303.16))))</f>
        <v>0.104</v>
      </c>
      <c r="E243" s="366">
        <f t="shared" si="58"/>
        <v>0</v>
      </c>
      <c r="F243" s="158" t="e">
        <f>(E243*'III. INPUT-Baseline'!H81*'III. INPUT-Baseline'!$H$165*C243*0.8)+G243</f>
        <v>#N/A</v>
      </c>
      <c r="G243" s="593" t="e">
        <f>IF('III. INPUT-Baseline'!$I$43=TRUE,0,IF('III. INPUT-Baseline'!$E$142=B242,0,IF('III. INPUT-Baseline'!$F$142=B242,0,IF('III. INPUT-Baseline'!$G$142=B242,0,IF('III. INPUT-Baseline'!$C$142="Yes",0,(F242-H242))))))</f>
        <v>#N/A</v>
      </c>
      <c r="H243" s="158" t="e">
        <f t="shared" si="60"/>
        <v>#N/A</v>
      </c>
      <c r="I243" s="618">
        <f>IF('III. INPUT-Baseline'!D43=0,0,(H243*'III. INPUT-Baseline'!$C$116*0.68*0.001)*(('III. INPUT-Baseline'!G43-'III. INPUT-Baseline'!H43)/'III. INPUT-Baseline'!E43))</f>
        <v>0</v>
      </c>
      <c r="J243" s="158">
        <f t="shared" si="59"/>
        <v>0</v>
      </c>
      <c r="K243" s="153"/>
      <c r="L243" s="153"/>
      <c r="M243" s="154"/>
      <c r="N243" s="154"/>
      <c r="O243" s="4"/>
      <c r="Q243" s="153"/>
    </row>
    <row r="244" spans="2:17" x14ac:dyDescent="0.25">
      <c r="B244" s="556" t="str">
        <f>'III. INPUT-Baseline'!$B$44</f>
        <v>-</v>
      </c>
      <c r="C244" s="594" t="e">
        <f>$C$31</f>
        <v>#N/A</v>
      </c>
      <c r="D244" s="151">
        <f>MIN(0.95, MAX(0.104,EXP(15175*(('III. INPUT-Baseline'!$C$44+273)-303.16)/(1.987*('III. INPUT-Baseline'!$C$44+273)*303.16))))</f>
        <v>0.104</v>
      </c>
      <c r="E244" s="366">
        <f t="shared" si="58"/>
        <v>0</v>
      </c>
      <c r="F244" s="158" t="e">
        <f>(E244*'III. INPUT-Baseline'!H82*'III. INPUT-Baseline'!$H$165*C244*0.8)+G244</f>
        <v>#N/A</v>
      </c>
      <c r="G244" s="593" t="e">
        <f>IF('III. INPUT-Baseline'!$I$44=TRUE,0,IF('III. INPUT-Baseline'!$E$142=B243,0,IF('III. INPUT-Baseline'!$F$142=B243,0,IF('III. INPUT-Baseline'!$G$142=B243,0,IF('III. INPUT-Baseline'!$C$142="Yes",0,(F243-H243))))))</f>
        <v>#N/A</v>
      </c>
      <c r="H244" s="158" t="e">
        <f t="shared" si="60"/>
        <v>#N/A</v>
      </c>
      <c r="I244" s="618">
        <f>IF('III. INPUT-Baseline'!D44=0,0,(H244*'III. INPUT-Baseline'!$C$116*0.68*0.001)*(('III. INPUT-Baseline'!G44-'III. INPUT-Baseline'!H44)/'III. INPUT-Baseline'!E44))</f>
        <v>0</v>
      </c>
      <c r="J244" s="158">
        <f t="shared" si="59"/>
        <v>0</v>
      </c>
      <c r="K244" s="94"/>
      <c r="L244" s="94"/>
      <c r="M244" s="94"/>
      <c r="N244" s="156"/>
      <c r="O244" s="94"/>
      <c r="P244" s="156"/>
      <c r="Q244" s="156"/>
    </row>
    <row r="245" spans="2:17" s="3" customFormat="1" ht="13" x14ac:dyDescent="0.3">
      <c r="B245" s="556" t="str">
        <f>'III. INPUT-Baseline'!$B$45</f>
        <v>-</v>
      </c>
      <c r="C245" s="594" t="e">
        <f>$C$32</f>
        <v>#N/A</v>
      </c>
      <c r="D245" s="151">
        <f>MIN(0.95, MAX(0.104,EXP(15175*(('III. INPUT-Baseline'!$C$45+273)-303.16)/(1.987*('III. INPUT-Baseline'!$C$45+273)*303.16))))</f>
        <v>0.104</v>
      </c>
      <c r="E245" s="366">
        <f t="shared" si="58"/>
        <v>0</v>
      </c>
      <c r="F245" s="158" t="e">
        <f>(E245*'III. INPUT-Baseline'!H83*'III. INPUT-Baseline'!$H$165*C245*0.8)+G245</f>
        <v>#N/A</v>
      </c>
      <c r="G245" s="593" t="e">
        <f>IF('III. INPUT-Baseline'!$I$45=TRUE,0,IF('III. INPUT-Baseline'!$E$142=B244,0,IF('III. INPUT-Baseline'!$F$142=B244,0,IF('III. INPUT-Baseline'!$G$142=B244,0,IF('III. INPUT-Baseline'!$C$142="Yes",0,(F244-H244))))))</f>
        <v>#N/A</v>
      </c>
      <c r="H245" s="158" t="e">
        <f t="shared" si="60"/>
        <v>#N/A</v>
      </c>
      <c r="I245" s="618">
        <f>IF('III. INPUT-Baseline'!D45=0,0,(H245*'III. INPUT-Baseline'!$C$116*0.68*0.001)*(('III. INPUT-Baseline'!G45-'III. INPUT-Baseline'!H45)/'III. INPUT-Baseline'!E45))</f>
        <v>0</v>
      </c>
      <c r="J245" s="158">
        <f t="shared" si="59"/>
        <v>0</v>
      </c>
      <c r="K245" s="4"/>
      <c r="L245" s="4"/>
      <c r="M245" s="4"/>
      <c r="O245" s="4"/>
    </row>
    <row r="246" spans="2:17" ht="13" x14ac:dyDescent="0.3">
      <c r="B246" s="556" t="str">
        <f>'III. INPUT-Baseline'!$B$46</f>
        <v>-</v>
      </c>
      <c r="C246" s="594" t="e">
        <f>$C$33</f>
        <v>#N/A</v>
      </c>
      <c r="D246" s="151">
        <f>MIN(0.95, MAX(0.104,EXP(15175*(('III. INPUT-Baseline'!$C$46+273)-303.16)/(1.987*('III. INPUT-Baseline'!$C$46+273)*303.16))))</f>
        <v>0.104</v>
      </c>
      <c r="E246" s="366">
        <f t="shared" si="58"/>
        <v>0</v>
      </c>
      <c r="F246" s="158" t="e">
        <f>(E246*'III. INPUT-Baseline'!H84*'III. INPUT-Baseline'!$H$165*C246*0.8)+G246</f>
        <v>#N/A</v>
      </c>
      <c r="G246" s="593" t="e">
        <f>IF('III. INPUT-Baseline'!$I$46=TRUE,0,IF('III. INPUT-Baseline'!$E$142=B245,0,IF('III. INPUT-Baseline'!$F$142=B245,0,IF('III. INPUT-Baseline'!$G$142=B245,0,IF('III. INPUT-Baseline'!$C$142="Yes",0,(F245-H245))))))</f>
        <v>#N/A</v>
      </c>
      <c r="H246" s="158" t="e">
        <f t="shared" si="60"/>
        <v>#N/A</v>
      </c>
      <c r="I246" s="618">
        <f>IF('III. INPUT-Baseline'!D46=0,0,(H246*'III. INPUT-Baseline'!$C$116*0.68*0.001)*(('III. INPUT-Baseline'!G46-'III. INPUT-Baseline'!H46)/'III. INPUT-Baseline'!E46))</f>
        <v>0</v>
      </c>
      <c r="J246" s="158">
        <f t="shared" si="59"/>
        <v>0</v>
      </c>
      <c r="K246" s="4"/>
      <c r="L246" s="4"/>
      <c r="M246" s="4"/>
      <c r="O246" s="49"/>
    </row>
    <row r="247" spans="2:17" ht="13" x14ac:dyDescent="0.3">
      <c r="B247" s="609" t="str">
        <f>'III. INPUT-Baseline'!$B$47</f>
        <v>-</v>
      </c>
      <c r="C247" s="594" t="e">
        <f>$C$34</f>
        <v>#N/A</v>
      </c>
      <c r="D247" s="151">
        <f>MIN(0.95, MAX(0.104,EXP(15175*(('III. INPUT-Baseline'!$C$47+273)-303.16)/(1.987*('III. INPUT-Baseline'!$C$47+273)*303.16))))</f>
        <v>0.104</v>
      </c>
      <c r="E247" s="611">
        <f t="shared" si="58"/>
        <v>0</v>
      </c>
      <c r="F247" s="610" t="e">
        <f>(E247*'III. INPUT-Baseline'!H85*'III. INPUT-Baseline'!$H$165*C247*0.8)+G247</f>
        <v>#N/A</v>
      </c>
      <c r="G247" s="612" t="e">
        <f>IF('III. INPUT-Baseline'!$I$46=TRUE,0,IF('III. INPUT-Baseline'!$E$142=B246,0,IF('III. INPUT-Baseline'!$F$142=B246,0,IF('III. INPUT-Baseline'!$G$142=B246,0,IF('III. INPUT-Baseline'!$C$142="Yes",0,(F246-H246))))))</f>
        <v>#N/A</v>
      </c>
      <c r="H247" s="610" t="e">
        <f t="shared" ref="H247" si="61">F247*D247</f>
        <v>#N/A</v>
      </c>
      <c r="I247" s="618">
        <f>IF('III. INPUT-Baseline'!D47=0,0,(H247*'III. INPUT-Baseline'!$C$116*0.68*0.001)*(('III. INPUT-Baseline'!G47-'III. INPUT-Baseline'!H47)/'III. INPUT-Baseline'!E47))</f>
        <v>0</v>
      </c>
      <c r="J247" s="610">
        <f t="shared" ref="J247" si="62">I247*gwp_ch4</f>
        <v>0</v>
      </c>
      <c r="K247" s="4"/>
      <c r="L247" s="4"/>
      <c r="M247" s="4"/>
      <c r="O247" s="49"/>
    </row>
    <row r="248" spans="2:17" ht="13" x14ac:dyDescent="0.3">
      <c r="B248" s="596" t="s">
        <v>432</v>
      </c>
      <c r="C248" s="613"/>
      <c r="D248" s="598"/>
      <c r="E248" s="598"/>
      <c r="F248" s="614"/>
      <c r="G248" s="615"/>
      <c r="H248" s="605" t="e">
        <f>SUM(H235:H247)</f>
        <v>#N/A</v>
      </c>
      <c r="I248" s="605">
        <f t="shared" ref="I248:J248" si="63">SUM(I235:I247)</f>
        <v>0</v>
      </c>
      <c r="J248" s="605">
        <f t="shared" si="63"/>
        <v>0</v>
      </c>
      <c r="K248" s="4"/>
      <c r="L248" s="4"/>
      <c r="M248" s="4"/>
      <c r="O248" s="49"/>
    </row>
    <row r="249" spans="2:17" ht="13" x14ac:dyDescent="0.3">
      <c r="B249" s="3"/>
      <c r="C249" s="3"/>
      <c r="D249" s="60"/>
      <c r="E249" s="60"/>
      <c r="F249" s="61"/>
      <c r="G249" s="61"/>
      <c r="H249" s="61"/>
      <c r="I249" s="61"/>
      <c r="J249" s="61"/>
    </row>
    <row r="250" spans="2:17" ht="13" x14ac:dyDescent="0.3">
      <c r="B250" s="4"/>
      <c r="C250" s="4"/>
      <c r="E250" s="656" t="s">
        <v>241</v>
      </c>
      <c r="F250" s="675"/>
      <c r="G250" s="675"/>
      <c r="H250" s="675"/>
      <c r="I250" s="675"/>
      <c r="J250" s="676"/>
      <c r="K250" s="4"/>
      <c r="L250" s="4"/>
      <c r="M250" s="4"/>
      <c r="O250" s="49"/>
    </row>
    <row r="251" spans="2:17" ht="13" x14ac:dyDescent="0.3">
      <c r="B251" s="3"/>
      <c r="C251" s="4"/>
      <c r="E251" s="677"/>
      <c r="F251" s="678"/>
      <c r="G251" s="678"/>
      <c r="H251" s="678"/>
      <c r="I251" s="678"/>
      <c r="J251" s="679"/>
      <c r="K251" s="4"/>
      <c r="L251" s="4"/>
      <c r="M251" s="4"/>
      <c r="O251" s="49"/>
    </row>
    <row r="252" spans="2:17" ht="13" x14ac:dyDescent="0.3">
      <c r="B252" s="585">
        <f>B231</f>
        <v>0</v>
      </c>
      <c r="C252" s="585">
        <f>'III. INPUT-Baseline'!B126</f>
        <v>0</v>
      </c>
      <c r="D252" s="149"/>
      <c r="E252" s="680"/>
      <c r="F252" s="681"/>
      <c r="G252" s="681"/>
      <c r="H252" s="681"/>
      <c r="I252" s="681"/>
      <c r="J252" s="682"/>
      <c r="K252" s="4"/>
      <c r="L252" s="4"/>
      <c r="M252" s="4"/>
      <c r="O252" s="49"/>
    </row>
    <row r="253" spans="2:17" ht="15" x14ac:dyDescent="0.4">
      <c r="B253" s="546" t="s">
        <v>423</v>
      </c>
      <c r="C253" s="586">
        <f>C232</f>
        <v>0</v>
      </c>
      <c r="E253" s="61"/>
      <c r="F253" s="60"/>
      <c r="G253" s="60"/>
      <c r="H253" s="60"/>
      <c r="I253" s="60"/>
      <c r="J253" s="60"/>
      <c r="K253" s="34"/>
      <c r="L253" s="34"/>
      <c r="M253" s="34"/>
    </row>
    <row r="254" spans="2:17" ht="13" x14ac:dyDescent="0.3">
      <c r="B254" s="616"/>
      <c r="C254" s="617"/>
      <c r="E254" s="61"/>
      <c r="F254" s="60"/>
      <c r="G254" s="60"/>
      <c r="H254" s="60"/>
      <c r="I254" s="60"/>
      <c r="J254" s="60"/>
      <c r="K254" s="94"/>
      <c r="L254" s="94"/>
      <c r="O254" s="49"/>
      <c r="P254" s="25"/>
    </row>
    <row r="255" spans="2:17" ht="29" x14ac:dyDescent="0.4">
      <c r="B255" s="136" t="s">
        <v>246</v>
      </c>
      <c r="C255" s="136" t="s">
        <v>424</v>
      </c>
      <c r="D255" s="606" t="s">
        <v>425</v>
      </c>
      <c r="E255" s="590" t="s">
        <v>426</v>
      </c>
      <c r="F255" s="591" t="s">
        <v>427</v>
      </c>
      <c r="G255" s="590" t="s">
        <v>428</v>
      </c>
      <c r="H255" s="591" t="s">
        <v>429</v>
      </c>
      <c r="I255" s="591" t="s">
        <v>430</v>
      </c>
      <c r="J255" s="591" t="s">
        <v>431</v>
      </c>
      <c r="K255" s="34"/>
      <c r="L255" s="34"/>
      <c r="M255" s="34"/>
    </row>
    <row r="256" spans="2:17" x14ac:dyDescent="0.25">
      <c r="B256" s="556" t="str">
        <f>'III. INPUT-Baseline'!$B$35</f>
        <v>-</v>
      </c>
      <c r="C256" s="594" t="e">
        <f>$C$22</f>
        <v>#N/A</v>
      </c>
      <c r="D256" s="151">
        <f>MIN(0.95, MAX(0.104,EXP(15175*(('III. INPUT-Baseline'!$C$35+273)-303.16)/(1.987*('III. INPUT-Baseline'!$C$35+273)*303.16))))</f>
        <v>0.104</v>
      </c>
      <c r="E256" s="366">
        <f t="shared" ref="E256:E268" si="64">$C$253</f>
        <v>0</v>
      </c>
      <c r="F256" s="158" t="e">
        <f>(E256*'III. INPUT-Baseline'!H73*'III. INPUT-Baseline'!$H$166*C256*0.8)+G256</f>
        <v>#N/A</v>
      </c>
      <c r="G256" s="592">
        <v>0</v>
      </c>
      <c r="H256" s="158" t="e">
        <f>F256*D256</f>
        <v>#N/A</v>
      </c>
      <c r="I256" s="618">
        <f>IF('III. INPUT-Baseline'!D35=0,0,(H256*'III. INPUT-Baseline'!$C$116*0.68*0.001)*(('III. INPUT-Baseline'!G35-'III. INPUT-Baseline'!H35)/'III. INPUT-Baseline'!E35))</f>
        <v>0</v>
      </c>
      <c r="J256" s="158">
        <f t="shared" ref="J256:J267" si="65">I256*gwp_ch4</f>
        <v>0</v>
      </c>
    </row>
    <row r="257" spans="2:17" x14ac:dyDescent="0.25">
      <c r="B257" s="556" t="str">
        <f>'III. INPUT-Baseline'!$B$36</f>
        <v>-</v>
      </c>
      <c r="C257" s="594" t="e">
        <f>$C$23</f>
        <v>#N/A</v>
      </c>
      <c r="D257" s="151">
        <f>MIN(0.95, MAX(0.104,EXP(15175*(('III. INPUT-Baseline'!$C$36+273)-303.16)/(1.987*('III. INPUT-Baseline'!$C$36+273)*303.16))))</f>
        <v>0.104</v>
      </c>
      <c r="E257" s="366">
        <f t="shared" si="64"/>
        <v>0</v>
      </c>
      <c r="F257" s="158" t="e">
        <f>(E257*'III. INPUT-Baseline'!H74*'III. INPUT-Baseline'!$H$166*C257*0.8)+G257</f>
        <v>#N/A</v>
      </c>
      <c r="G257" s="593">
        <f>IF('III. INPUT-Baseline'!$I36=TRUE,0,IF('III. INPUT-Baseline'!$E$143=B256,0,IF('III. INPUT-Baseline'!$F$143=B256,0,IF('III. INPUT-Baseline'!$G$143=B256,0,IF('III. INPUT-Baseline'!$C$143="Yes",0,(F256-H256))))))</f>
        <v>0</v>
      </c>
      <c r="H257" s="158" t="e">
        <f t="shared" ref="H257:H267" si="66">F257*D257</f>
        <v>#N/A</v>
      </c>
      <c r="I257" s="618">
        <f>IF('III. INPUT-Baseline'!D36=0,0,(H257*'III. INPUT-Baseline'!$C$116*0.68*0.001)*(('III. INPUT-Baseline'!G36-'III. INPUT-Baseline'!H36)/'III. INPUT-Baseline'!E36))</f>
        <v>0</v>
      </c>
      <c r="J257" s="158">
        <f t="shared" si="65"/>
        <v>0</v>
      </c>
    </row>
    <row r="258" spans="2:17" x14ac:dyDescent="0.25">
      <c r="B258" s="556" t="str">
        <f>'III. INPUT-Baseline'!$B$37</f>
        <v>-</v>
      </c>
      <c r="C258" s="594" t="e">
        <f>$C$24</f>
        <v>#N/A</v>
      </c>
      <c r="D258" s="151">
        <f>MIN(0.95, MAX(0.104,EXP(15175*(('III. INPUT-Baseline'!$C$37+273)-303.16)/(1.987*('III. INPUT-Baseline'!$C$37+273)*303.16))))</f>
        <v>0.104</v>
      </c>
      <c r="E258" s="366">
        <f t="shared" si="64"/>
        <v>0</v>
      </c>
      <c r="F258" s="158" t="e">
        <f>(E258*'III. INPUT-Baseline'!H75*'III. INPUT-Baseline'!$H$166*C258*0.8)+G258</f>
        <v>#N/A</v>
      </c>
      <c r="G258" s="593">
        <f>IF('III. INPUT-Baseline'!$I37=TRUE,0,IF('III. INPUT-Baseline'!$E$143=B257,0,IF('III. INPUT-Baseline'!$F$143=B257,0,IF('III. INPUT-Baseline'!$G$143=B257,0,IF('III. INPUT-Baseline'!$C$143="Yes",0,(F257-H257))))))</f>
        <v>0</v>
      </c>
      <c r="H258" s="158" t="e">
        <f t="shared" si="66"/>
        <v>#N/A</v>
      </c>
      <c r="I258" s="618">
        <f>IF('III. INPUT-Baseline'!D37=0,0,(H258*'III. INPUT-Baseline'!$C$116*0.68*0.001)*(('III. INPUT-Baseline'!G37-'III. INPUT-Baseline'!H37)/'III. INPUT-Baseline'!E37))</f>
        <v>0</v>
      </c>
      <c r="J258" s="158">
        <f t="shared" si="65"/>
        <v>0</v>
      </c>
    </row>
    <row r="259" spans="2:17" x14ac:dyDescent="0.25">
      <c r="B259" s="556" t="str">
        <f>'III. INPUT-Baseline'!$B$38</f>
        <v>-</v>
      </c>
      <c r="C259" s="594" t="e">
        <f>$C$25</f>
        <v>#N/A</v>
      </c>
      <c r="D259" s="151">
        <f>MIN(0.95, MAX(0.104,EXP(15175*(('III. INPUT-Baseline'!$C$38+273)-303.16)/(1.987*('III. INPUT-Baseline'!$C$38+273)*303.16))))</f>
        <v>0.104</v>
      </c>
      <c r="E259" s="366">
        <f t="shared" si="64"/>
        <v>0</v>
      </c>
      <c r="F259" s="158" t="e">
        <f>(E259*'III. INPUT-Baseline'!H76*'III. INPUT-Baseline'!$H$166*C259*0.8)+G259</f>
        <v>#N/A</v>
      </c>
      <c r="G259" s="593">
        <f>IF('III. INPUT-Baseline'!$I38=TRUE,0,IF('III. INPUT-Baseline'!$E$143=B258,0,IF('III. INPUT-Baseline'!$F$143=B258,0,IF('III. INPUT-Baseline'!$G$143=B258,0,IF('III. INPUT-Baseline'!$C$143="Yes",0,(F258-H258))))))</f>
        <v>0</v>
      </c>
      <c r="H259" s="158" t="e">
        <f t="shared" si="66"/>
        <v>#N/A</v>
      </c>
      <c r="I259" s="618">
        <f>IF('III. INPUT-Baseline'!D38=0,0,(H259*'III. INPUT-Baseline'!$C$116*0.68*0.001)*(('III. INPUT-Baseline'!G38-'III. INPUT-Baseline'!H38)/'III. INPUT-Baseline'!E38))</f>
        <v>0</v>
      </c>
      <c r="J259" s="158">
        <f t="shared" si="65"/>
        <v>0</v>
      </c>
    </row>
    <row r="260" spans="2:17" x14ac:dyDescent="0.25">
      <c r="B260" s="556" t="str">
        <f>'III. INPUT-Baseline'!$B$39</f>
        <v>-</v>
      </c>
      <c r="C260" s="594" t="e">
        <f>$C$26</f>
        <v>#N/A</v>
      </c>
      <c r="D260" s="151">
        <f>MIN(0.95, MAX(0.104,EXP(15175*(('III. INPUT-Baseline'!$C$39+273)-303.16)/(1.987*('III. INPUT-Baseline'!$C$39+273)*303.16))))</f>
        <v>0.104</v>
      </c>
      <c r="E260" s="366">
        <f t="shared" si="64"/>
        <v>0</v>
      </c>
      <c r="F260" s="158" t="e">
        <f>(E260*'III. INPUT-Baseline'!H77*'III. INPUT-Baseline'!$H$166*C260*0.8)+G260</f>
        <v>#N/A</v>
      </c>
      <c r="G260" s="593">
        <f>IF('III. INPUT-Baseline'!$I39=TRUE,0,IF('III. INPUT-Baseline'!$E$143=B259,0,IF('III. INPUT-Baseline'!$F$143=B259,0,IF('III. INPUT-Baseline'!$G$143=B259,0,IF('III. INPUT-Baseline'!$C$143="Yes",0,(F259-H259))))))</f>
        <v>0</v>
      </c>
      <c r="H260" s="158" t="e">
        <f t="shared" si="66"/>
        <v>#N/A</v>
      </c>
      <c r="I260" s="618">
        <f>IF('III. INPUT-Baseline'!D39=0,0,(H260*'III. INPUT-Baseline'!$C$116*0.68*0.001)*(('III. INPUT-Baseline'!G39-'III. INPUT-Baseline'!H39)/'III. INPUT-Baseline'!E39))</f>
        <v>0</v>
      </c>
      <c r="J260" s="158">
        <f t="shared" si="65"/>
        <v>0</v>
      </c>
    </row>
    <row r="261" spans="2:17" x14ac:dyDescent="0.25">
      <c r="B261" s="556" t="str">
        <f>'III. INPUT-Baseline'!$B$40</f>
        <v>-</v>
      </c>
      <c r="C261" s="594" t="e">
        <f>$C$27</f>
        <v>#N/A</v>
      </c>
      <c r="D261" s="151">
        <f>MIN(0.95, MAX(0.104,EXP(15175*(('III. INPUT-Baseline'!$C$40+273)-303.16)/(1.987*('III. INPUT-Baseline'!$C$40+273)*303.16))))</f>
        <v>0.104</v>
      </c>
      <c r="E261" s="366">
        <f t="shared" si="64"/>
        <v>0</v>
      </c>
      <c r="F261" s="158" t="e">
        <f>(E261*'III. INPUT-Baseline'!H78*'III. INPUT-Baseline'!$H$166*C261*0.8)+G261</f>
        <v>#N/A</v>
      </c>
      <c r="G261" s="593">
        <f>IF('III. INPUT-Baseline'!$I40=TRUE,0,IF('III. INPUT-Baseline'!$E$143=B260,0,IF('III. INPUT-Baseline'!$F$143=B260,0,IF('III. INPUT-Baseline'!$G$143=B260,0,IF('III. INPUT-Baseline'!$C$143="Yes",0,(F260-H260))))))</f>
        <v>0</v>
      </c>
      <c r="H261" s="158" t="e">
        <f t="shared" si="66"/>
        <v>#N/A</v>
      </c>
      <c r="I261" s="618">
        <f>IF('III. INPUT-Baseline'!D40=0,0,(H261*'III. INPUT-Baseline'!$C$116*0.68*0.001)*(('III. INPUT-Baseline'!G40-'III. INPUT-Baseline'!H40)/'III. INPUT-Baseline'!E40))</f>
        <v>0</v>
      </c>
      <c r="J261" s="158">
        <f t="shared" si="65"/>
        <v>0</v>
      </c>
    </row>
    <row r="262" spans="2:17" x14ac:dyDescent="0.25">
      <c r="B262" s="556" t="str">
        <f>'III. INPUT-Baseline'!$B$41</f>
        <v>-</v>
      </c>
      <c r="C262" s="594" t="e">
        <f>$C$28</f>
        <v>#N/A</v>
      </c>
      <c r="D262" s="151">
        <f>MIN(0.95, MAX(0.104,EXP(15175*(('III. INPUT-Baseline'!$C$41+273)-303.16)/(1.987*('III. INPUT-Baseline'!$C$41+273)*303.16))))</f>
        <v>0.104</v>
      </c>
      <c r="E262" s="366">
        <f t="shared" si="64"/>
        <v>0</v>
      </c>
      <c r="F262" s="158" t="e">
        <f>(E262*'III. INPUT-Baseline'!H79*'III. INPUT-Baseline'!$H$166*C262*0.8)+G262</f>
        <v>#N/A</v>
      </c>
      <c r="G262" s="593">
        <f>IF('III. INPUT-Baseline'!$I41=TRUE,0,IF('III. INPUT-Baseline'!$E$143=B261,0,IF('III. INPUT-Baseline'!$F$143=B261,0,IF('III. INPUT-Baseline'!$G$143=B261,0,IF('III. INPUT-Baseline'!$C$143="Yes",0,(F261-H261))))))</f>
        <v>0</v>
      </c>
      <c r="H262" s="158" t="e">
        <f t="shared" si="66"/>
        <v>#N/A</v>
      </c>
      <c r="I262" s="618">
        <f>IF('III. INPUT-Baseline'!D41=0,0,(H262*'III. INPUT-Baseline'!$C$116*0.68*0.001)*(('III. INPUT-Baseline'!G41-'III. INPUT-Baseline'!H41)/'III. INPUT-Baseline'!E41))</f>
        <v>0</v>
      </c>
      <c r="J262" s="158">
        <f t="shared" si="65"/>
        <v>0</v>
      </c>
    </row>
    <row r="263" spans="2:17" x14ac:dyDescent="0.25">
      <c r="B263" s="556" t="str">
        <f>'III. INPUT-Baseline'!$B$42</f>
        <v>-</v>
      </c>
      <c r="C263" s="594" t="e">
        <f>$C$29</f>
        <v>#N/A</v>
      </c>
      <c r="D263" s="151">
        <f>MIN(0.95, MAX(0.104,EXP(15175*(('III. INPUT-Baseline'!$C$42+273)-303.16)/(1.987*('III. INPUT-Baseline'!$C$42+273)*303.16))))</f>
        <v>0.104</v>
      </c>
      <c r="E263" s="366">
        <f t="shared" si="64"/>
        <v>0</v>
      </c>
      <c r="F263" s="158" t="e">
        <f>(E263*'III. INPUT-Baseline'!H80*'III. INPUT-Baseline'!$H$166*C263*0.8)+G263</f>
        <v>#N/A</v>
      </c>
      <c r="G263" s="593">
        <f>IF('III. INPUT-Baseline'!$I42=TRUE,0,IF('III. INPUT-Baseline'!$E$143=B262,0,IF('III. INPUT-Baseline'!$F$143=B262,0,IF('III. INPUT-Baseline'!$G$143=B262,0,IF('III. INPUT-Baseline'!$C$143="Yes",0,(F262-H262))))))</f>
        <v>0</v>
      </c>
      <c r="H263" s="158" t="e">
        <f t="shared" si="66"/>
        <v>#N/A</v>
      </c>
      <c r="I263" s="618">
        <f>IF('III. INPUT-Baseline'!D42=0,0,(H263*'III. INPUT-Baseline'!$C$116*0.68*0.001)*(('III. INPUT-Baseline'!G42-'III. INPUT-Baseline'!H42)/'III. INPUT-Baseline'!E42))</f>
        <v>0</v>
      </c>
      <c r="J263" s="158">
        <f t="shared" si="65"/>
        <v>0</v>
      </c>
    </row>
    <row r="264" spans="2:17" s="3" customFormat="1" ht="13" x14ac:dyDescent="0.3">
      <c r="B264" s="556" t="str">
        <f>'III. INPUT-Baseline'!$B$43</f>
        <v>-</v>
      </c>
      <c r="C264" s="594" t="e">
        <f>$C$30</f>
        <v>#N/A</v>
      </c>
      <c r="D264" s="151">
        <f>MIN(0.95, MAX(0.104,EXP(15175*(('III. INPUT-Baseline'!$C$43+273)-303.16)/(1.987*('III. INPUT-Baseline'!$C$43+273)*303.16))))</f>
        <v>0.104</v>
      </c>
      <c r="E264" s="366">
        <f t="shared" si="64"/>
        <v>0</v>
      </c>
      <c r="F264" s="158" t="e">
        <f>(E264*'III. INPUT-Baseline'!H81*'III. INPUT-Baseline'!$H$166*C264*0.8)+G264</f>
        <v>#N/A</v>
      </c>
      <c r="G264" s="593">
        <f>IF('III. INPUT-Baseline'!$I43=TRUE,0,IF('III. INPUT-Baseline'!$E$143=B263,0,IF('III. INPUT-Baseline'!$F$143=B263,0,IF('III. INPUT-Baseline'!$G$143=B263,0,IF('III. INPUT-Baseline'!$C$143="Yes",0,(F263-H263))))))</f>
        <v>0</v>
      </c>
      <c r="H264" s="158" t="e">
        <f t="shared" si="66"/>
        <v>#N/A</v>
      </c>
      <c r="I264" s="618">
        <f>IF('III. INPUT-Baseline'!D43=0,0,(H264*'III. INPUT-Baseline'!$C$116*0.68*0.001)*(('III. INPUT-Baseline'!G43-'III. INPUT-Baseline'!H43)/'III. INPUT-Baseline'!E43))</f>
        <v>0</v>
      </c>
      <c r="J264" s="158">
        <f t="shared" si="65"/>
        <v>0</v>
      </c>
      <c r="K264" s="153"/>
      <c r="L264" s="153"/>
      <c r="M264" s="154"/>
      <c r="N264" s="154"/>
      <c r="O264" s="4"/>
      <c r="Q264" s="153"/>
    </row>
    <row r="265" spans="2:17" x14ac:dyDescent="0.25">
      <c r="B265" s="556" t="str">
        <f>'III. INPUT-Baseline'!$B$44</f>
        <v>-</v>
      </c>
      <c r="C265" s="594" t="e">
        <f>$C$31</f>
        <v>#N/A</v>
      </c>
      <c r="D265" s="151">
        <f>MIN(0.95, MAX(0.104,EXP(15175*(('III. INPUT-Baseline'!$C$44+273)-303.16)/(1.987*('III. INPUT-Baseline'!$C$44+273)*303.16))))</f>
        <v>0.104</v>
      </c>
      <c r="E265" s="366">
        <f t="shared" si="64"/>
        <v>0</v>
      </c>
      <c r="F265" s="158" t="e">
        <f>(E265*'III. INPUT-Baseline'!H82*'III. INPUT-Baseline'!$H$166*C265*0.8)+G265</f>
        <v>#N/A</v>
      </c>
      <c r="G265" s="593">
        <f>IF('III. INPUT-Baseline'!$I44=TRUE,0,IF('III. INPUT-Baseline'!$E$143=B264,0,IF('III. INPUT-Baseline'!$F$143=B264,0,IF('III. INPUT-Baseline'!$G$143=B264,0,IF('III. INPUT-Baseline'!$C$143="Yes",0,(F264-H264))))))</f>
        <v>0</v>
      </c>
      <c r="H265" s="158" t="e">
        <f t="shared" si="66"/>
        <v>#N/A</v>
      </c>
      <c r="I265" s="618">
        <f>IF('III. INPUT-Baseline'!D44=0,0,(H265*'III. INPUT-Baseline'!$C$116*0.68*0.001)*(('III. INPUT-Baseline'!G44-'III. INPUT-Baseline'!H44)/'III. INPUT-Baseline'!E44))</f>
        <v>0</v>
      </c>
      <c r="J265" s="158">
        <f t="shared" si="65"/>
        <v>0</v>
      </c>
      <c r="K265" s="94"/>
      <c r="L265" s="94"/>
      <c r="M265" s="94"/>
      <c r="N265" s="156"/>
      <c r="O265" s="94"/>
      <c r="P265" s="156"/>
      <c r="Q265" s="156"/>
    </row>
    <row r="266" spans="2:17" s="3" customFormat="1" ht="13" x14ac:dyDescent="0.3">
      <c r="B266" s="556" t="str">
        <f>'III. INPUT-Baseline'!$B$45</f>
        <v>-</v>
      </c>
      <c r="C266" s="594" t="e">
        <f>$C$32</f>
        <v>#N/A</v>
      </c>
      <c r="D266" s="151">
        <f>MIN(0.95, MAX(0.104,EXP(15175*(('III. INPUT-Baseline'!$C$45+273)-303.16)/(1.987*('III. INPUT-Baseline'!$C$45+273)*303.16))))</f>
        <v>0.104</v>
      </c>
      <c r="E266" s="366">
        <f t="shared" si="64"/>
        <v>0</v>
      </c>
      <c r="F266" s="158" t="e">
        <f>(E266*'III. INPUT-Baseline'!H83*'III. INPUT-Baseline'!$H$166*C266*0.8)+G266</f>
        <v>#N/A</v>
      </c>
      <c r="G266" s="593">
        <f>IF('III. INPUT-Baseline'!$I45=TRUE,0,IF('III. INPUT-Baseline'!$E$143=B265,0,IF('III. INPUT-Baseline'!$F$143=B265,0,IF('III. INPUT-Baseline'!$G$143=B265,0,IF('III. INPUT-Baseline'!$C$143="Yes",0,(F265-H265))))))</f>
        <v>0</v>
      </c>
      <c r="H266" s="158" t="e">
        <f t="shared" si="66"/>
        <v>#N/A</v>
      </c>
      <c r="I266" s="618">
        <f>IF('III. INPUT-Baseline'!D45=0,0,(H266*'III. INPUT-Baseline'!$C$116*0.68*0.001)*(('III. INPUT-Baseline'!G45-'III. INPUT-Baseline'!H45)/'III. INPUT-Baseline'!E45))</f>
        <v>0</v>
      </c>
      <c r="J266" s="158">
        <f t="shared" si="65"/>
        <v>0</v>
      </c>
      <c r="K266" s="4"/>
      <c r="L266" s="4"/>
      <c r="M266" s="4"/>
      <c r="O266" s="4"/>
    </row>
    <row r="267" spans="2:17" ht="13" x14ac:dyDescent="0.3">
      <c r="B267" s="556" t="str">
        <f>'III. INPUT-Baseline'!$B$46</f>
        <v>-</v>
      </c>
      <c r="C267" s="594" t="e">
        <f>$C$33</f>
        <v>#N/A</v>
      </c>
      <c r="D267" s="151">
        <f>MIN(0.95, MAX(0.104,EXP(15175*(('III. INPUT-Baseline'!$C$46+273)-303.16)/(1.987*('III. INPUT-Baseline'!$C$46+273)*303.16))))</f>
        <v>0.104</v>
      </c>
      <c r="E267" s="366">
        <f t="shared" si="64"/>
        <v>0</v>
      </c>
      <c r="F267" s="158" t="e">
        <f>(E267*'III. INPUT-Baseline'!H84*'III. INPUT-Baseline'!$H$166*C267*0.8)+G267</f>
        <v>#N/A</v>
      </c>
      <c r="G267" s="593">
        <f>IF('III. INPUT-Baseline'!$I46=TRUE,0,IF('III. INPUT-Baseline'!$E$143=B266,0,IF('III. INPUT-Baseline'!$F$143=B266,0,IF('III. INPUT-Baseline'!$G$143=B266,0,IF('III. INPUT-Baseline'!$C$143="Yes",0,(F266-H266))))))</f>
        <v>0</v>
      </c>
      <c r="H267" s="158" t="e">
        <f t="shared" si="66"/>
        <v>#N/A</v>
      </c>
      <c r="I267" s="618">
        <f>IF('III. INPUT-Baseline'!D46=0,0,(H267*'III. INPUT-Baseline'!$C$116*0.68*0.001)*(('III. INPUT-Baseline'!G46-'III. INPUT-Baseline'!H46)/'III. INPUT-Baseline'!E46))</f>
        <v>0</v>
      </c>
      <c r="J267" s="158">
        <f t="shared" si="65"/>
        <v>0</v>
      </c>
      <c r="K267" s="4"/>
      <c r="L267" s="4"/>
      <c r="M267" s="4"/>
      <c r="O267" s="49"/>
    </row>
    <row r="268" spans="2:17" ht="13" x14ac:dyDescent="0.3">
      <c r="B268" s="609" t="str">
        <f>'III. INPUT-Baseline'!$B$47</f>
        <v>-</v>
      </c>
      <c r="C268" s="594" t="e">
        <f>$C$34</f>
        <v>#N/A</v>
      </c>
      <c r="D268" s="151">
        <f>MIN(0.95, MAX(0.104,EXP(15175*(('III. INPUT-Baseline'!$C$47+273)-303.16)/(1.987*('III. INPUT-Baseline'!$C$47+273)*303.16))))</f>
        <v>0.104</v>
      </c>
      <c r="E268" s="611">
        <f t="shared" si="64"/>
        <v>0</v>
      </c>
      <c r="F268" s="610" t="e">
        <f>(E268*'III. INPUT-Baseline'!H85*'III. INPUT-Baseline'!$H$166*C268*0.8)+G268</f>
        <v>#N/A</v>
      </c>
      <c r="G268" s="612">
        <f>IF('III. INPUT-Baseline'!$I47=TRUE,0,IF('III. INPUT-Baseline'!$E$143=B267,0,IF('III. INPUT-Baseline'!$F$143=B267,0,IF('III. INPUT-Baseline'!$G$143=B267,0,IF('III. INPUT-Baseline'!$C$143="Yes",0,(F267-H267))))))</f>
        <v>0</v>
      </c>
      <c r="H268" s="610" t="e">
        <f t="shared" ref="H268" si="67">F268*D268</f>
        <v>#N/A</v>
      </c>
      <c r="I268" s="618">
        <f>IF('III. INPUT-Baseline'!D47=0,0,(H268*'III. INPUT-Baseline'!$C$116*0.68*0.001)*(('III. INPUT-Baseline'!G47-'III. INPUT-Baseline'!H47)/'III. INPUT-Baseline'!E47))</f>
        <v>0</v>
      </c>
      <c r="J268" s="610">
        <f t="shared" ref="J268" si="68">I268*gwp_ch4</f>
        <v>0</v>
      </c>
      <c r="K268" s="4"/>
      <c r="L268" s="4"/>
      <c r="M268" s="4"/>
      <c r="O268" s="49"/>
    </row>
    <row r="269" spans="2:17" ht="13" x14ac:dyDescent="0.3">
      <c r="B269" s="596" t="s">
        <v>432</v>
      </c>
      <c r="C269" s="613"/>
      <c r="D269" s="598"/>
      <c r="E269" s="598"/>
      <c r="F269" s="614"/>
      <c r="G269" s="615"/>
      <c r="H269" s="605" t="e">
        <f>SUM(H256:H268)</f>
        <v>#N/A</v>
      </c>
      <c r="I269" s="605">
        <f t="shared" ref="I269:J269" si="69">SUM(I256:I268)</f>
        <v>0</v>
      </c>
      <c r="J269" s="605">
        <f t="shared" si="69"/>
        <v>0</v>
      </c>
      <c r="K269" s="4"/>
      <c r="L269" s="4"/>
      <c r="M269" s="4"/>
      <c r="O269" s="49"/>
    </row>
    <row r="270" spans="2:17" ht="13" x14ac:dyDescent="0.3">
      <c r="B270" s="3"/>
      <c r="C270" s="3"/>
      <c r="D270" s="60"/>
      <c r="E270" s="60"/>
      <c r="F270" s="61"/>
      <c r="G270" s="61"/>
      <c r="H270" s="61"/>
      <c r="I270" s="61"/>
      <c r="J270" s="61"/>
      <c r="K270" s="94"/>
      <c r="L270" s="94"/>
    </row>
    <row r="271" spans="2:17" ht="13" x14ac:dyDescent="0.3">
      <c r="B271" s="3"/>
      <c r="C271" s="49"/>
      <c r="E271" s="656" t="s">
        <v>241</v>
      </c>
      <c r="F271" s="675"/>
      <c r="G271" s="675"/>
      <c r="H271" s="675"/>
      <c r="I271" s="675"/>
      <c r="J271" s="676"/>
    </row>
    <row r="272" spans="2:17" ht="13" x14ac:dyDescent="0.3">
      <c r="B272" s="3"/>
      <c r="C272" s="49"/>
      <c r="E272" s="677"/>
      <c r="F272" s="678"/>
      <c r="G272" s="678"/>
      <c r="H272" s="678"/>
      <c r="I272" s="678"/>
      <c r="J272" s="679"/>
    </row>
    <row r="273" spans="2:17" ht="13" x14ac:dyDescent="0.3">
      <c r="B273" s="3"/>
      <c r="C273" s="49"/>
      <c r="E273" s="680"/>
      <c r="F273" s="681"/>
      <c r="G273" s="681"/>
      <c r="H273" s="681"/>
      <c r="I273" s="681"/>
      <c r="J273" s="682"/>
    </row>
    <row r="274" spans="2:17" ht="13" x14ac:dyDescent="0.3">
      <c r="B274" s="3"/>
      <c r="C274" s="49"/>
    </row>
    <row r="275" spans="2:17" ht="26" x14ac:dyDescent="0.3">
      <c r="B275" s="585">
        <f>'III. INPUT-Baseline'!B60</f>
        <v>0</v>
      </c>
      <c r="C275" s="585" t="str">
        <f>'III. INPUT-Baseline'!B125</f>
        <v>Uncovered anaerobic lagoon</v>
      </c>
      <c r="D275" s="149"/>
      <c r="E275" s="60"/>
      <c r="F275" s="60"/>
      <c r="G275" s="60"/>
      <c r="H275" s="60"/>
      <c r="I275" s="60"/>
      <c r="J275" s="60"/>
    </row>
    <row r="276" spans="2:17" ht="15" x14ac:dyDescent="0.4">
      <c r="B276" s="546" t="s">
        <v>423</v>
      </c>
      <c r="C276" s="586">
        <f>'III. INPUT-Baseline'!D103</f>
        <v>0</v>
      </c>
      <c r="E276" s="61"/>
      <c r="F276" s="60"/>
      <c r="G276" s="60"/>
      <c r="H276" s="60"/>
      <c r="I276" s="60"/>
      <c r="J276" s="60"/>
    </row>
    <row r="277" spans="2:17" ht="13" x14ac:dyDescent="0.3">
      <c r="B277" s="616"/>
      <c r="C277" s="617"/>
      <c r="E277" s="61"/>
      <c r="F277" s="60"/>
      <c r="G277" s="60"/>
      <c r="H277" s="60"/>
      <c r="I277" s="60"/>
      <c r="J277" s="60"/>
    </row>
    <row r="278" spans="2:17" ht="29" x14ac:dyDescent="0.4">
      <c r="B278" s="136" t="s">
        <v>246</v>
      </c>
      <c r="C278" s="136" t="s">
        <v>424</v>
      </c>
      <c r="D278" s="606" t="s">
        <v>425</v>
      </c>
      <c r="E278" s="590" t="s">
        <v>426</v>
      </c>
      <c r="F278" s="591" t="s">
        <v>427</v>
      </c>
      <c r="G278" s="590" t="s">
        <v>428</v>
      </c>
      <c r="H278" s="591" t="s">
        <v>429</v>
      </c>
      <c r="I278" s="591" t="s">
        <v>430</v>
      </c>
      <c r="J278" s="591" t="s">
        <v>431</v>
      </c>
      <c r="K278" s="34"/>
      <c r="L278" s="34"/>
      <c r="M278" s="34"/>
    </row>
    <row r="279" spans="2:17" x14ac:dyDescent="0.25">
      <c r="B279" s="556" t="str">
        <f>'III. INPUT-Baseline'!$B$35</f>
        <v>-</v>
      </c>
      <c r="C279" s="594" t="e">
        <f>$C$22</f>
        <v>#N/A</v>
      </c>
      <c r="D279" s="151">
        <f>MIN(0.95, MAX(0.104,EXP(15175*(('III. INPUT-Baseline'!$C$35+273)-303.16)/(1.987*('III. INPUT-Baseline'!$C$35+273)*303.16))))</f>
        <v>0.104</v>
      </c>
      <c r="E279" s="366">
        <f t="shared" ref="E279:E291" si="70">$C$276</f>
        <v>0</v>
      </c>
      <c r="F279" s="158" t="e">
        <f>(E279*'III. INPUT-Baseline'!I73*'III. INPUT-Baseline'!$I$165*C279*0.8)+G279</f>
        <v>#N/A</v>
      </c>
      <c r="G279" s="592">
        <v>0</v>
      </c>
      <c r="H279" s="158" t="e">
        <f>F279*D279</f>
        <v>#N/A</v>
      </c>
      <c r="I279" s="618">
        <f>IF('III. INPUT-Baseline'!D35=0,0,(H279*'III. INPUT-Baseline'!$C$117*0.68*0.001)*(('III. INPUT-Baseline'!G35-'III. INPUT-Baseline'!H35)/'III. INPUT-Baseline'!E35))</f>
        <v>0</v>
      </c>
      <c r="J279" s="158">
        <f t="shared" ref="J279:J290" si="71">I279*gwp_ch4</f>
        <v>0</v>
      </c>
    </row>
    <row r="280" spans="2:17" x14ac:dyDescent="0.25">
      <c r="B280" s="556" t="str">
        <f>'III. INPUT-Baseline'!$B$36</f>
        <v>-</v>
      </c>
      <c r="C280" s="594" t="e">
        <f>$C$23</f>
        <v>#N/A</v>
      </c>
      <c r="D280" s="151">
        <f>MIN(0.95, MAX(0.104,EXP(15175*(('III. INPUT-Baseline'!$C$36+273)-303.16)/(1.987*('III. INPUT-Baseline'!$C$36+273)*303.16))))</f>
        <v>0.104</v>
      </c>
      <c r="E280" s="366">
        <f t="shared" si="70"/>
        <v>0</v>
      </c>
      <c r="F280" s="158" t="e">
        <f>(E280*'III. INPUT-Baseline'!I74*'III. INPUT-Baseline'!$I$165*C280*0.8)+G280</f>
        <v>#N/A</v>
      </c>
      <c r="G280" s="593" t="e">
        <f>IF('III. INPUT-Baseline'!$I$36=TRUE,0,IF('III. INPUT-Baseline'!$E$142=B279,0,IF('III. INPUT-Baseline'!$F$142=B279,0,IF('III. INPUT-Baseline'!$G$142=B279,0,IF('III. INPUT-Baseline'!$C$142="Yes",0,(F279-H279))))))</f>
        <v>#N/A</v>
      </c>
      <c r="H280" s="158" t="e">
        <f t="shared" ref="H280:H290" si="72">F280*D280</f>
        <v>#N/A</v>
      </c>
      <c r="I280" s="618">
        <f>IF('III. INPUT-Baseline'!D36=0,0,(H280*'III. INPUT-Baseline'!$C$117*0.68*0.001)*(('III. INPUT-Baseline'!G36-'III. INPUT-Baseline'!H36)/'III. INPUT-Baseline'!E36))</f>
        <v>0</v>
      </c>
      <c r="J280" s="158">
        <f t="shared" si="71"/>
        <v>0</v>
      </c>
    </row>
    <row r="281" spans="2:17" x14ac:dyDescent="0.25">
      <c r="B281" s="556" t="str">
        <f>'III. INPUT-Baseline'!$B$37</f>
        <v>-</v>
      </c>
      <c r="C281" s="594" t="e">
        <f>$C$24</f>
        <v>#N/A</v>
      </c>
      <c r="D281" s="151">
        <f>MIN(0.95, MAX(0.104,EXP(15175*(('III. INPUT-Baseline'!$C$37+273)-303.16)/(1.987*('III. INPUT-Baseline'!$C$37+273)*303.16))))</f>
        <v>0.104</v>
      </c>
      <c r="E281" s="366">
        <f t="shared" si="70"/>
        <v>0</v>
      </c>
      <c r="F281" s="158" t="e">
        <f>(E281*'III. INPUT-Baseline'!I75*'III. INPUT-Baseline'!$I$165*C281*0.8)+G281</f>
        <v>#N/A</v>
      </c>
      <c r="G281" s="593" t="e">
        <f>IF('III. INPUT-Baseline'!$I$37=TRUE,0,IF('III. INPUT-Baseline'!$E$142=B280,0,IF('III. INPUT-Baseline'!$F$142=B280,0,IF('III. INPUT-Baseline'!$G$142=B280,0,IF('III. INPUT-Baseline'!$C$142="Yes",0,(F280-H280))))))</f>
        <v>#N/A</v>
      </c>
      <c r="H281" s="158" t="e">
        <f t="shared" si="72"/>
        <v>#N/A</v>
      </c>
      <c r="I281" s="618">
        <f>IF('III. INPUT-Baseline'!D37=0,0,(H281*'III. INPUT-Baseline'!$C$117*0.68*0.001)*(('III. INPUT-Baseline'!G37-'III. INPUT-Baseline'!H37)/'III. INPUT-Baseline'!E37))</f>
        <v>0</v>
      </c>
      <c r="J281" s="158">
        <f t="shared" si="71"/>
        <v>0</v>
      </c>
    </row>
    <row r="282" spans="2:17" x14ac:dyDescent="0.25">
      <c r="B282" s="556" t="str">
        <f>'III. INPUT-Baseline'!$B$38</f>
        <v>-</v>
      </c>
      <c r="C282" s="594" t="e">
        <f>$C$25</f>
        <v>#N/A</v>
      </c>
      <c r="D282" s="151">
        <f>MIN(0.95, MAX(0.104,EXP(15175*(('III. INPUT-Baseline'!$C$38+273)-303.16)/(1.987*('III. INPUT-Baseline'!$C$38+273)*303.16))))</f>
        <v>0.104</v>
      </c>
      <c r="E282" s="366">
        <f t="shared" si="70"/>
        <v>0</v>
      </c>
      <c r="F282" s="158" t="e">
        <f>(E282*'III. INPUT-Baseline'!I76*'III. INPUT-Baseline'!$I$165*C282*0.8)+G282</f>
        <v>#N/A</v>
      </c>
      <c r="G282" s="593" t="e">
        <f>IF('III. INPUT-Baseline'!$I$38=TRUE,0,IF('III. INPUT-Baseline'!$E$142=B281,0,IF('III. INPUT-Baseline'!$F$142=B281,0,IF('III. INPUT-Baseline'!$G$142=B281,0,IF('III. INPUT-Baseline'!$C$142="Yes",0,(F281-H281))))))</f>
        <v>#N/A</v>
      </c>
      <c r="H282" s="158" t="e">
        <f t="shared" si="72"/>
        <v>#N/A</v>
      </c>
      <c r="I282" s="618">
        <f>IF('III. INPUT-Baseline'!D38=0,0,(H282*'III. INPUT-Baseline'!$C$117*0.68*0.001)*(('III. INPUT-Baseline'!G38-'III. INPUT-Baseline'!H38)/'III. INPUT-Baseline'!E38))</f>
        <v>0</v>
      </c>
      <c r="J282" s="158">
        <f t="shared" si="71"/>
        <v>0</v>
      </c>
    </row>
    <row r="283" spans="2:17" x14ac:dyDescent="0.25">
      <c r="B283" s="556" t="str">
        <f>'III. INPUT-Baseline'!$B$39</f>
        <v>-</v>
      </c>
      <c r="C283" s="594" t="e">
        <f>$C$26</f>
        <v>#N/A</v>
      </c>
      <c r="D283" s="151">
        <f>MIN(0.95, MAX(0.104,EXP(15175*(('III. INPUT-Baseline'!$C$39+273)-303.16)/(1.987*('III. INPUT-Baseline'!$C$39+273)*303.16))))</f>
        <v>0.104</v>
      </c>
      <c r="E283" s="366">
        <f t="shared" si="70"/>
        <v>0</v>
      </c>
      <c r="F283" s="158" t="e">
        <f>(E283*'III. INPUT-Baseline'!I77*'III. INPUT-Baseline'!$I$165*C283*0.8)+G283</f>
        <v>#N/A</v>
      </c>
      <c r="G283" s="593" t="e">
        <f>IF('III. INPUT-Baseline'!$I$39=TRUE,0,IF('III. INPUT-Baseline'!$E$142=B282,0,IF('III. INPUT-Baseline'!$F$142=B282,0,IF('III. INPUT-Baseline'!$G$142=B282,0,IF('III. INPUT-Baseline'!$C$142="Yes",0,(F282-H282))))))</f>
        <v>#N/A</v>
      </c>
      <c r="H283" s="158" t="e">
        <f t="shared" si="72"/>
        <v>#N/A</v>
      </c>
      <c r="I283" s="618">
        <f>IF('III. INPUT-Baseline'!D39=0,0,(H283*'III. INPUT-Baseline'!$C$117*0.68*0.001)*(('III. INPUT-Baseline'!G39-'III. INPUT-Baseline'!H39)/'III. INPUT-Baseline'!E39))</f>
        <v>0</v>
      </c>
      <c r="J283" s="158">
        <f t="shared" si="71"/>
        <v>0</v>
      </c>
    </row>
    <row r="284" spans="2:17" x14ac:dyDescent="0.25">
      <c r="B284" s="556" t="str">
        <f>'III. INPUT-Baseline'!$B$40</f>
        <v>-</v>
      </c>
      <c r="C284" s="594" t="e">
        <f>$C$27</f>
        <v>#N/A</v>
      </c>
      <c r="D284" s="151">
        <f>MIN(0.95, MAX(0.104,EXP(15175*(('III. INPUT-Baseline'!$C$40+273)-303.16)/(1.987*('III. INPUT-Baseline'!$C$40+273)*303.16))))</f>
        <v>0.104</v>
      </c>
      <c r="E284" s="366">
        <f t="shared" si="70"/>
        <v>0</v>
      </c>
      <c r="F284" s="158" t="e">
        <f>(E284*'III. INPUT-Baseline'!I78*'III. INPUT-Baseline'!$I$165*C284*0.8)+G284</f>
        <v>#N/A</v>
      </c>
      <c r="G284" s="593" t="e">
        <f>IF('III. INPUT-Baseline'!$I$40=TRUE,0,IF('III. INPUT-Baseline'!$E$142=B283,0,IF('III. INPUT-Baseline'!$F$142=B283,0,IF('III. INPUT-Baseline'!$G$142=B283,0,IF('III. INPUT-Baseline'!$C$142="Yes",0,(F283-H283))))))</f>
        <v>#N/A</v>
      </c>
      <c r="H284" s="158" t="e">
        <f t="shared" si="72"/>
        <v>#N/A</v>
      </c>
      <c r="I284" s="618">
        <f>IF('III. INPUT-Baseline'!D40=0,0,(H284*'III. INPUT-Baseline'!$C$117*0.68*0.001)*(('III. INPUT-Baseline'!G40-'III. INPUT-Baseline'!H40)/'III. INPUT-Baseline'!E40))</f>
        <v>0</v>
      </c>
      <c r="J284" s="158">
        <f t="shared" si="71"/>
        <v>0</v>
      </c>
    </row>
    <row r="285" spans="2:17" x14ac:dyDescent="0.25">
      <c r="B285" s="556" t="str">
        <f>'III. INPUT-Baseline'!$B$41</f>
        <v>-</v>
      </c>
      <c r="C285" s="594" t="e">
        <f>$C$28</f>
        <v>#N/A</v>
      </c>
      <c r="D285" s="151">
        <f>MIN(0.95, MAX(0.104,EXP(15175*(('III. INPUT-Baseline'!$C$41+273)-303.16)/(1.987*('III. INPUT-Baseline'!$C$41+273)*303.16))))</f>
        <v>0.104</v>
      </c>
      <c r="E285" s="366">
        <f t="shared" si="70"/>
        <v>0</v>
      </c>
      <c r="F285" s="158" t="e">
        <f>(E285*'III. INPUT-Baseline'!I79*'III. INPUT-Baseline'!$I$165*C285*0.8)+G285</f>
        <v>#N/A</v>
      </c>
      <c r="G285" s="593" t="e">
        <f>IF('III. INPUT-Baseline'!$I$41=TRUE,0,IF('III. INPUT-Baseline'!$E$142=B284,0,IF('III. INPUT-Baseline'!$F$142=B284,0,IF('III. INPUT-Baseline'!$G$142=B284,0,IF('III. INPUT-Baseline'!$C$142="Yes",0,(F284-H284))))))</f>
        <v>#N/A</v>
      </c>
      <c r="H285" s="158" t="e">
        <f t="shared" si="72"/>
        <v>#N/A</v>
      </c>
      <c r="I285" s="618">
        <f>IF('III. INPUT-Baseline'!D41=0,0,(H285*'III. INPUT-Baseline'!$C$117*0.68*0.001)*(('III. INPUT-Baseline'!G41-'III. INPUT-Baseline'!H41)/'III. INPUT-Baseline'!E41))</f>
        <v>0</v>
      </c>
      <c r="J285" s="158">
        <f t="shared" si="71"/>
        <v>0</v>
      </c>
    </row>
    <row r="286" spans="2:17" x14ac:dyDescent="0.25">
      <c r="B286" s="556" t="str">
        <f>'III. INPUT-Baseline'!$B$42</f>
        <v>-</v>
      </c>
      <c r="C286" s="594" t="e">
        <f>$C$29</f>
        <v>#N/A</v>
      </c>
      <c r="D286" s="151">
        <f>MIN(0.95, MAX(0.104,EXP(15175*(('III. INPUT-Baseline'!$C$42+273)-303.16)/(1.987*('III. INPUT-Baseline'!$C$42+273)*303.16))))</f>
        <v>0.104</v>
      </c>
      <c r="E286" s="366">
        <f t="shared" si="70"/>
        <v>0</v>
      </c>
      <c r="F286" s="158" t="e">
        <f>(E286*'III. INPUT-Baseline'!I80*'III. INPUT-Baseline'!$I$165*C286*0.8)+G286</f>
        <v>#N/A</v>
      </c>
      <c r="G286" s="593" t="e">
        <f>IF('III. INPUT-Baseline'!$I$42=TRUE,0,IF('III. INPUT-Baseline'!$E$142=B285,0,IF('III. INPUT-Baseline'!$F$142=B285,0,IF('III. INPUT-Baseline'!$G$142=B285,0,IF('III. INPUT-Baseline'!$C$142="Yes",0,(F285-H285))))))</f>
        <v>#N/A</v>
      </c>
      <c r="H286" s="158" t="e">
        <f t="shared" si="72"/>
        <v>#N/A</v>
      </c>
      <c r="I286" s="618">
        <f>IF('III. INPUT-Baseline'!D42=0,0,(H286*'III. INPUT-Baseline'!$C$117*0.68*0.001)*(('III. INPUT-Baseline'!G42-'III. INPUT-Baseline'!H42)/'III. INPUT-Baseline'!E42))</f>
        <v>0</v>
      </c>
      <c r="J286" s="158">
        <f t="shared" si="71"/>
        <v>0</v>
      </c>
    </row>
    <row r="287" spans="2:17" s="3" customFormat="1" ht="13" x14ac:dyDescent="0.3">
      <c r="B287" s="556" t="str">
        <f>'III. INPUT-Baseline'!$B$43</f>
        <v>-</v>
      </c>
      <c r="C287" s="594" t="e">
        <f>$C$30</f>
        <v>#N/A</v>
      </c>
      <c r="D287" s="151">
        <f>MIN(0.95, MAX(0.104,EXP(15175*(('III. INPUT-Baseline'!$C$43+273)-303.16)/(1.987*('III. INPUT-Baseline'!$C$43+273)*303.16))))</f>
        <v>0.104</v>
      </c>
      <c r="E287" s="366">
        <f t="shared" si="70"/>
        <v>0</v>
      </c>
      <c r="F287" s="158" t="e">
        <f>(E287*'III. INPUT-Baseline'!I81*'III. INPUT-Baseline'!$I$165*C287*0.8)+G287</f>
        <v>#N/A</v>
      </c>
      <c r="G287" s="593" t="e">
        <f>IF('III. INPUT-Baseline'!$I$43=TRUE,0,IF('III. INPUT-Baseline'!$E$142=B286,0,IF('III. INPUT-Baseline'!$F$142=B286,0,IF('III. INPUT-Baseline'!$G$142=B286,0,IF('III. INPUT-Baseline'!$C$142="Yes",0,(F286-H286))))))</f>
        <v>#N/A</v>
      </c>
      <c r="H287" s="158" t="e">
        <f t="shared" si="72"/>
        <v>#N/A</v>
      </c>
      <c r="I287" s="618">
        <f>IF('III. INPUT-Baseline'!D43=0,0,(H287*'III. INPUT-Baseline'!$C$117*0.68*0.001)*(('III. INPUT-Baseline'!G43-'III. INPUT-Baseline'!H43)/'III. INPUT-Baseline'!E43))</f>
        <v>0</v>
      </c>
      <c r="J287" s="158">
        <f t="shared" si="71"/>
        <v>0</v>
      </c>
      <c r="K287" s="153"/>
      <c r="L287" s="153"/>
      <c r="M287" s="154"/>
      <c r="N287" s="154"/>
      <c r="O287" s="4"/>
      <c r="Q287" s="153"/>
    </row>
    <row r="288" spans="2:17" x14ac:dyDescent="0.25">
      <c r="B288" s="556" t="str">
        <f>'III. INPUT-Baseline'!$B$44</f>
        <v>-</v>
      </c>
      <c r="C288" s="594" t="e">
        <f>$C$31</f>
        <v>#N/A</v>
      </c>
      <c r="D288" s="151">
        <f>MIN(0.95, MAX(0.104,EXP(15175*(('III. INPUT-Baseline'!$C$44+273)-303.16)/(1.987*('III. INPUT-Baseline'!$C$44+273)*303.16))))</f>
        <v>0.104</v>
      </c>
      <c r="E288" s="366">
        <f t="shared" si="70"/>
        <v>0</v>
      </c>
      <c r="F288" s="158" t="e">
        <f>(E288*'III. INPUT-Baseline'!I82*'III. INPUT-Baseline'!$I$165*C288*0.8)+G288</f>
        <v>#N/A</v>
      </c>
      <c r="G288" s="593" t="e">
        <f>IF('III. INPUT-Baseline'!$I$44=TRUE,0,IF('III. INPUT-Baseline'!$E$142=B287,0,IF('III. INPUT-Baseline'!$F$142=B287,0,IF('III. INPUT-Baseline'!$G$142=B287,0,IF('III. INPUT-Baseline'!$C$142="Yes",0,(F287-H287))))))</f>
        <v>#N/A</v>
      </c>
      <c r="H288" s="158" t="e">
        <f t="shared" si="72"/>
        <v>#N/A</v>
      </c>
      <c r="I288" s="618">
        <f>IF('III. INPUT-Baseline'!D44=0,0,(H288*'III. INPUT-Baseline'!$C$117*0.68*0.001)*(('III. INPUT-Baseline'!G44-'III. INPUT-Baseline'!H44)/'III. INPUT-Baseline'!E44))</f>
        <v>0</v>
      </c>
      <c r="J288" s="158">
        <f t="shared" si="71"/>
        <v>0</v>
      </c>
      <c r="K288" s="94"/>
      <c r="L288" s="94"/>
      <c r="M288" s="94"/>
      <c r="N288" s="156"/>
      <c r="O288" s="94"/>
      <c r="P288" s="156"/>
      <c r="Q288" s="156"/>
    </row>
    <row r="289" spans="2:18" s="3" customFormat="1" ht="13" x14ac:dyDescent="0.3">
      <c r="B289" s="556" t="str">
        <f>'III. INPUT-Baseline'!$B$45</f>
        <v>-</v>
      </c>
      <c r="C289" s="594" t="e">
        <f>$C$32</f>
        <v>#N/A</v>
      </c>
      <c r="D289" s="151">
        <f>MIN(0.95, MAX(0.104,EXP(15175*(('III. INPUT-Baseline'!$C$45+273)-303.16)/(1.987*('III. INPUT-Baseline'!$C$45+273)*303.16))))</f>
        <v>0.104</v>
      </c>
      <c r="E289" s="366">
        <f t="shared" si="70"/>
        <v>0</v>
      </c>
      <c r="F289" s="158" t="e">
        <f>(E289*'III. INPUT-Baseline'!I83*'III. INPUT-Baseline'!$I$165*C289*0.8)+G289</f>
        <v>#N/A</v>
      </c>
      <c r="G289" s="593" t="e">
        <f>IF('III. INPUT-Baseline'!$I$45=TRUE,0,IF('III. INPUT-Baseline'!$E$142=B288,0,IF('III. INPUT-Baseline'!$F$142=B288,0,IF('III. INPUT-Baseline'!$G$142=B288,0,IF('III. INPUT-Baseline'!$C$142="Yes",0,(F288-H288))))))</f>
        <v>#N/A</v>
      </c>
      <c r="H289" s="158" t="e">
        <f t="shared" si="72"/>
        <v>#N/A</v>
      </c>
      <c r="I289" s="618">
        <f>IF('III. INPUT-Baseline'!D45=0,0,(H289*'III. INPUT-Baseline'!$C$117*0.68*0.001)*(('III. INPUT-Baseline'!G45-'III. INPUT-Baseline'!H45)/'III. INPUT-Baseline'!E45))</f>
        <v>0</v>
      </c>
      <c r="J289" s="158">
        <f t="shared" si="71"/>
        <v>0</v>
      </c>
      <c r="K289" s="4"/>
      <c r="L289" s="4"/>
      <c r="M289" s="4"/>
      <c r="O289" s="4"/>
    </row>
    <row r="290" spans="2:18" ht="13" x14ac:dyDescent="0.3">
      <c r="B290" s="556" t="str">
        <f>'III. INPUT-Baseline'!$B$46</f>
        <v>-</v>
      </c>
      <c r="C290" s="594" t="e">
        <f>$C$33</f>
        <v>#N/A</v>
      </c>
      <c r="D290" s="151">
        <f>MIN(0.95, MAX(0.104,EXP(15175*(('III. INPUT-Baseline'!$C$46+273)-303.16)/(1.987*('III. INPUT-Baseline'!$C$46+273)*303.16))))</f>
        <v>0.104</v>
      </c>
      <c r="E290" s="366">
        <f t="shared" si="70"/>
        <v>0</v>
      </c>
      <c r="F290" s="158" t="e">
        <f>(E290*'III. INPUT-Baseline'!I84*'III. INPUT-Baseline'!$I$165*C290*0.8)+G290</f>
        <v>#N/A</v>
      </c>
      <c r="G290" s="593" t="e">
        <f>IF('III. INPUT-Baseline'!$I$46=TRUE,0,IF('III. INPUT-Baseline'!$E$142=B289,0,IF('III. INPUT-Baseline'!$F$142=B289,0,IF('III. INPUT-Baseline'!$G$142=B289,0,IF('III. INPUT-Baseline'!$C$142="Yes",0,(F289-H289))))))</f>
        <v>#N/A</v>
      </c>
      <c r="H290" s="158" t="e">
        <f t="shared" si="72"/>
        <v>#N/A</v>
      </c>
      <c r="I290" s="618">
        <f>IF('III. INPUT-Baseline'!D46=0,0,(H290*'III. INPUT-Baseline'!$C$117*0.68*0.001)*(('III. INPUT-Baseline'!G46-'III. INPUT-Baseline'!H46)/'III. INPUT-Baseline'!E46))</f>
        <v>0</v>
      </c>
      <c r="J290" s="158">
        <f t="shared" si="71"/>
        <v>0</v>
      </c>
      <c r="K290" s="4"/>
      <c r="L290" s="4"/>
      <c r="M290" s="4"/>
      <c r="O290" s="49"/>
    </row>
    <row r="291" spans="2:18" ht="13" x14ac:dyDescent="0.3">
      <c r="B291" s="609" t="str">
        <f>'III. INPUT-Baseline'!$B$47</f>
        <v>-</v>
      </c>
      <c r="C291" s="594" t="e">
        <f>$C$34</f>
        <v>#N/A</v>
      </c>
      <c r="D291" s="151">
        <f>MIN(0.95, MAX(0.104,EXP(15175*(('III. INPUT-Baseline'!$C$47+273)-303.16)/(1.987*('III. INPUT-Baseline'!$C$47+273)*303.16))))</f>
        <v>0.104</v>
      </c>
      <c r="E291" s="611">
        <f t="shared" si="70"/>
        <v>0</v>
      </c>
      <c r="F291" s="610" t="e">
        <f>(E291*'III. INPUT-Baseline'!I85*'III. INPUT-Baseline'!$I$165*C291*0.8)+G291</f>
        <v>#N/A</v>
      </c>
      <c r="G291" s="612" t="e">
        <f>IF('III. INPUT-Baseline'!$I$46=TRUE,0,IF('III. INPUT-Baseline'!$E$142=B290,0,IF('III. INPUT-Baseline'!$F$142=B290,0,IF('III. INPUT-Baseline'!$G$142=B290,0,IF('III. INPUT-Baseline'!$C$142="Yes",0,(F290-H290))))))</f>
        <v>#N/A</v>
      </c>
      <c r="H291" s="610" t="e">
        <f t="shared" ref="H291" si="73">F291*D291</f>
        <v>#N/A</v>
      </c>
      <c r="I291" s="618">
        <f>IF('III. INPUT-Baseline'!D47=0,0,(H291*'III. INPUT-Baseline'!$C$117*0.68*0.001)*(('III. INPUT-Baseline'!G47-'III. INPUT-Baseline'!H47)/'III. INPUT-Baseline'!E47))</f>
        <v>0</v>
      </c>
      <c r="J291" s="610">
        <f t="shared" ref="J291" si="74">I291*gwp_ch4</f>
        <v>0</v>
      </c>
      <c r="K291" s="4"/>
      <c r="L291" s="4"/>
      <c r="M291" s="4"/>
      <c r="O291" s="49"/>
    </row>
    <row r="292" spans="2:18" ht="13" x14ac:dyDescent="0.3">
      <c r="B292" s="596" t="s">
        <v>432</v>
      </c>
      <c r="C292" s="613"/>
      <c r="D292" s="598"/>
      <c r="E292" s="598"/>
      <c r="F292" s="614"/>
      <c r="G292" s="615"/>
      <c r="H292" s="605" t="e">
        <f>SUM(H279:H291)</f>
        <v>#N/A</v>
      </c>
      <c r="I292" s="605">
        <f t="shared" ref="I292:J292" si="75">SUM(I279:I291)</f>
        <v>0</v>
      </c>
      <c r="J292" s="605">
        <f t="shared" si="75"/>
        <v>0</v>
      </c>
      <c r="K292" s="4"/>
      <c r="L292" s="4"/>
      <c r="M292" s="4"/>
      <c r="O292" s="49"/>
    </row>
    <row r="293" spans="2:18" ht="13" x14ac:dyDescent="0.3">
      <c r="B293" s="3"/>
      <c r="C293" s="3"/>
      <c r="D293" s="60"/>
      <c r="E293" s="60"/>
      <c r="F293" s="61"/>
      <c r="G293" s="61"/>
      <c r="H293" s="61"/>
      <c r="I293" s="61"/>
      <c r="J293" s="61"/>
    </row>
    <row r="294" spans="2:18" ht="13" x14ac:dyDescent="0.3">
      <c r="B294" s="3"/>
      <c r="C294" s="49"/>
      <c r="E294" s="656" t="s">
        <v>241</v>
      </c>
      <c r="F294" s="657"/>
      <c r="G294" s="657"/>
      <c r="H294" s="657"/>
      <c r="I294" s="657"/>
      <c r="J294" s="658"/>
    </row>
    <row r="295" spans="2:18" s="3" customFormat="1" ht="13" x14ac:dyDescent="0.3">
      <c r="D295" s="60"/>
      <c r="E295" s="659"/>
      <c r="F295" s="660"/>
      <c r="G295" s="660"/>
      <c r="H295" s="660"/>
      <c r="I295" s="660"/>
      <c r="J295" s="661"/>
      <c r="K295" s="153"/>
      <c r="L295" s="153"/>
      <c r="M295" s="154"/>
    </row>
    <row r="296" spans="2:18" ht="13" x14ac:dyDescent="0.3">
      <c r="B296" s="585">
        <f>B275</f>
        <v>0</v>
      </c>
      <c r="C296" s="585">
        <f>'III. INPUT-Baseline'!B126</f>
        <v>0</v>
      </c>
      <c r="D296" s="149"/>
      <c r="E296" s="662"/>
      <c r="F296" s="663"/>
      <c r="G296" s="663"/>
      <c r="H296" s="663"/>
      <c r="I296" s="663"/>
      <c r="J296" s="664"/>
    </row>
    <row r="297" spans="2:18" ht="15" x14ac:dyDescent="0.4">
      <c r="B297" s="546" t="s">
        <v>423</v>
      </c>
      <c r="C297" s="586">
        <f>C276</f>
        <v>0</v>
      </c>
      <c r="E297" s="61"/>
      <c r="F297" s="60"/>
      <c r="G297" s="60"/>
      <c r="H297" s="60"/>
      <c r="I297" s="60"/>
      <c r="J297" s="60"/>
      <c r="K297" s="4"/>
      <c r="L297" s="4"/>
      <c r="M297" s="4"/>
      <c r="O297" s="4"/>
      <c r="P297" s="34"/>
      <c r="Q297" s="34"/>
      <c r="R297" s="34"/>
    </row>
    <row r="298" spans="2:18" ht="13" x14ac:dyDescent="0.3">
      <c r="B298" s="616"/>
      <c r="C298" s="617"/>
      <c r="E298" s="61"/>
      <c r="F298" s="60"/>
      <c r="G298" s="60"/>
      <c r="H298" s="60"/>
      <c r="I298" s="60"/>
      <c r="J298" s="60"/>
      <c r="K298" s="4"/>
      <c r="L298" s="4"/>
      <c r="M298" s="4"/>
      <c r="O298" s="4"/>
      <c r="P298" s="34"/>
      <c r="Q298" s="34"/>
      <c r="R298" s="34"/>
    </row>
    <row r="299" spans="2:18" ht="29" x14ac:dyDescent="0.4">
      <c r="B299" s="136" t="s">
        <v>246</v>
      </c>
      <c r="C299" s="136" t="s">
        <v>424</v>
      </c>
      <c r="D299" s="606" t="s">
        <v>425</v>
      </c>
      <c r="E299" s="590" t="s">
        <v>426</v>
      </c>
      <c r="F299" s="591" t="s">
        <v>427</v>
      </c>
      <c r="G299" s="590" t="s">
        <v>428</v>
      </c>
      <c r="H299" s="591" t="s">
        <v>429</v>
      </c>
      <c r="I299" s="591" t="s">
        <v>430</v>
      </c>
      <c r="J299" s="591" t="s">
        <v>431</v>
      </c>
      <c r="K299" s="34"/>
      <c r="L299" s="34"/>
      <c r="M299" s="34"/>
    </row>
    <row r="300" spans="2:18" x14ac:dyDescent="0.25">
      <c r="B300" s="556" t="str">
        <f>'III. INPUT-Baseline'!$B$35</f>
        <v>-</v>
      </c>
      <c r="C300" s="594" t="e">
        <f>$C$22</f>
        <v>#N/A</v>
      </c>
      <c r="D300" s="151">
        <f>MIN(0.95, MAX(0.104,EXP(15175*(('III. INPUT-Baseline'!$C$35+273)-303.16)/(1.987*('III. INPUT-Baseline'!$C$35+273)*303.16))))</f>
        <v>0.104</v>
      </c>
      <c r="E300" s="366">
        <f t="shared" ref="E300:E312" si="76">$C$297</f>
        <v>0</v>
      </c>
      <c r="F300" s="158" t="e">
        <f>(E300*'III. INPUT-Baseline'!I73*'III. INPUT-Baseline'!$I$166*C300*0.8)+G300</f>
        <v>#N/A</v>
      </c>
      <c r="G300" s="592">
        <v>0</v>
      </c>
      <c r="H300" s="158" t="e">
        <f>F300*D300</f>
        <v>#N/A</v>
      </c>
      <c r="I300" s="618">
        <f>IF('III. INPUT-Baseline'!D35=0,0,(H300*'III. INPUT-Baseline'!$C$117*0.68*0.001)*(('III. INPUT-Baseline'!G35-'III. INPUT-Baseline'!H35)/'III. INPUT-Baseline'!E35))</f>
        <v>0</v>
      </c>
      <c r="J300" s="158">
        <f t="shared" ref="J300:J311" si="77">I300*gwp_ch4</f>
        <v>0</v>
      </c>
    </row>
    <row r="301" spans="2:18" x14ac:dyDescent="0.25">
      <c r="B301" s="556" t="str">
        <f>'III. INPUT-Baseline'!$B$36</f>
        <v>-</v>
      </c>
      <c r="C301" s="594" t="e">
        <f>$C$23</f>
        <v>#N/A</v>
      </c>
      <c r="D301" s="151">
        <f>MIN(0.95, MAX(0.104,EXP(15175*(('III. INPUT-Baseline'!$C$36+273)-303.16)/(1.987*('III. INPUT-Baseline'!$C$36+273)*303.16))))</f>
        <v>0.104</v>
      </c>
      <c r="E301" s="366">
        <f t="shared" si="76"/>
        <v>0</v>
      </c>
      <c r="F301" s="158" t="e">
        <f>(E301*'III. INPUT-Baseline'!I74*'III. INPUT-Baseline'!$I$166*C301*0.8)+G301</f>
        <v>#N/A</v>
      </c>
      <c r="G301" s="593">
        <f>IF('III. INPUT-Baseline'!$I36=TRUE,0,IF('III. INPUT-Baseline'!$E$143=B300,0,IF('III. INPUT-Baseline'!$F$143=B300,0,IF('III. INPUT-Baseline'!$G$143=B300,0,IF('III. INPUT-Baseline'!$C$143="Yes",0,(F300-H300))))))</f>
        <v>0</v>
      </c>
      <c r="H301" s="158" t="e">
        <f t="shared" ref="H301:H311" si="78">F301*D301</f>
        <v>#N/A</v>
      </c>
      <c r="I301" s="618">
        <f>IF('III. INPUT-Baseline'!D36=0,0,(H301*'III. INPUT-Baseline'!$C$117*0.68*0.001)*(('III. INPUT-Baseline'!G36-'III. INPUT-Baseline'!H36)/'III. INPUT-Baseline'!E36))</f>
        <v>0</v>
      </c>
      <c r="J301" s="158">
        <f t="shared" si="77"/>
        <v>0</v>
      </c>
    </row>
    <row r="302" spans="2:18" x14ac:dyDescent="0.25">
      <c r="B302" s="556" t="str">
        <f>'III. INPUT-Baseline'!$B$37</f>
        <v>-</v>
      </c>
      <c r="C302" s="594" t="e">
        <f>$C$24</f>
        <v>#N/A</v>
      </c>
      <c r="D302" s="151">
        <f>MIN(0.95, MAX(0.104,EXP(15175*(('III. INPUT-Baseline'!$C$37+273)-303.16)/(1.987*('III. INPUT-Baseline'!$C$37+273)*303.16))))</f>
        <v>0.104</v>
      </c>
      <c r="E302" s="366">
        <f t="shared" si="76"/>
        <v>0</v>
      </c>
      <c r="F302" s="158" t="e">
        <f>(E302*'III. INPUT-Baseline'!I75*'III. INPUT-Baseline'!$I$166*C302*0.8)+G302</f>
        <v>#N/A</v>
      </c>
      <c r="G302" s="593">
        <f>IF('III. INPUT-Baseline'!$I37=TRUE,0,IF('III. INPUT-Baseline'!$E$143=B301,0,IF('III. INPUT-Baseline'!$F$143=B301,0,IF('III. INPUT-Baseline'!$G$143=B301,0,IF('III. INPUT-Baseline'!$C$143="Yes",0,(F301-H301))))))</f>
        <v>0</v>
      </c>
      <c r="H302" s="158" t="e">
        <f t="shared" si="78"/>
        <v>#N/A</v>
      </c>
      <c r="I302" s="618">
        <f>IF('III. INPUT-Baseline'!D37=0,0,(H302*'III. INPUT-Baseline'!$C$117*0.68*0.001)*(('III. INPUT-Baseline'!G37-'III. INPUT-Baseline'!H37)/'III. INPUT-Baseline'!E37))</f>
        <v>0</v>
      </c>
      <c r="J302" s="158">
        <f t="shared" si="77"/>
        <v>0</v>
      </c>
    </row>
    <row r="303" spans="2:18" x14ac:dyDescent="0.25">
      <c r="B303" s="556" t="str">
        <f>'III. INPUT-Baseline'!$B$38</f>
        <v>-</v>
      </c>
      <c r="C303" s="594" t="e">
        <f>$C$25</f>
        <v>#N/A</v>
      </c>
      <c r="D303" s="151">
        <f>MIN(0.95, MAX(0.104,EXP(15175*(('III. INPUT-Baseline'!$C$38+273)-303.16)/(1.987*('III. INPUT-Baseline'!$C$38+273)*303.16))))</f>
        <v>0.104</v>
      </c>
      <c r="E303" s="366">
        <f t="shared" si="76"/>
        <v>0</v>
      </c>
      <c r="F303" s="158" t="e">
        <f>(E303*'III. INPUT-Baseline'!I76*'III. INPUT-Baseline'!$I$166*C303*0.8)+G303</f>
        <v>#N/A</v>
      </c>
      <c r="G303" s="593">
        <f>IF('III. INPUT-Baseline'!$I38=TRUE,0,IF('III. INPUT-Baseline'!$E$143=B302,0,IF('III. INPUT-Baseline'!$F$143=B302,0,IF('III. INPUT-Baseline'!$G$143=B302,0,IF('III. INPUT-Baseline'!$C$143="Yes",0,(F302-H302))))))</f>
        <v>0</v>
      </c>
      <c r="H303" s="158" t="e">
        <f t="shared" si="78"/>
        <v>#N/A</v>
      </c>
      <c r="I303" s="618">
        <f>IF('III. INPUT-Baseline'!D38=0,0,(H303*'III. INPUT-Baseline'!$C$117*0.68*0.001)*(('III. INPUT-Baseline'!G38-'III. INPUT-Baseline'!H38)/'III. INPUT-Baseline'!E38))</f>
        <v>0</v>
      </c>
      <c r="J303" s="158">
        <f t="shared" si="77"/>
        <v>0</v>
      </c>
    </row>
    <row r="304" spans="2:18" x14ac:dyDescent="0.25">
      <c r="B304" s="556" t="str">
        <f>'III. INPUT-Baseline'!$B$39</f>
        <v>-</v>
      </c>
      <c r="C304" s="594" t="e">
        <f>$C$26</f>
        <v>#N/A</v>
      </c>
      <c r="D304" s="151">
        <f>MIN(0.95, MAX(0.104,EXP(15175*(('III. INPUT-Baseline'!$C$39+273)-303.16)/(1.987*('III. INPUT-Baseline'!$C$39+273)*303.16))))</f>
        <v>0.104</v>
      </c>
      <c r="E304" s="366">
        <f t="shared" si="76"/>
        <v>0</v>
      </c>
      <c r="F304" s="158" t="e">
        <f>(E304*'III. INPUT-Baseline'!I77*'III. INPUT-Baseline'!$I$166*C304*0.8)+G304</f>
        <v>#N/A</v>
      </c>
      <c r="G304" s="593">
        <f>IF('III. INPUT-Baseline'!$I39=TRUE,0,IF('III. INPUT-Baseline'!$E$143=B303,0,IF('III. INPUT-Baseline'!$F$143=B303,0,IF('III. INPUT-Baseline'!$G$143=B303,0,IF('III. INPUT-Baseline'!$C$143="Yes",0,(F303-H303))))))</f>
        <v>0</v>
      </c>
      <c r="H304" s="158" t="e">
        <f t="shared" si="78"/>
        <v>#N/A</v>
      </c>
      <c r="I304" s="618">
        <f>IF('III. INPUT-Baseline'!D39=0,0,(H304*'III. INPUT-Baseline'!$C$117*0.68*0.001)*(('III. INPUT-Baseline'!G39-'III. INPUT-Baseline'!H39)/'III. INPUT-Baseline'!E39))</f>
        <v>0</v>
      </c>
      <c r="J304" s="158">
        <f t="shared" si="77"/>
        <v>0</v>
      </c>
    </row>
    <row r="305" spans="2:17" x14ac:dyDescent="0.25">
      <c r="B305" s="556" t="str">
        <f>'III. INPUT-Baseline'!$B$40</f>
        <v>-</v>
      </c>
      <c r="C305" s="594" t="e">
        <f>$C$27</f>
        <v>#N/A</v>
      </c>
      <c r="D305" s="151">
        <f>MIN(0.95, MAX(0.104,EXP(15175*(('III. INPUT-Baseline'!$C$40+273)-303.16)/(1.987*('III. INPUT-Baseline'!$C$40+273)*303.16))))</f>
        <v>0.104</v>
      </c>
      <c r="E305" s="366">
        <f t="shared" si="76"/>
        <v>0</v>
      </c>
      <c r="F305" s="158" t="e">
        <f>(E305*'III. INPUT-Baseline'!I78*'III. INPUT-Baseline'!$I$166*C305*0.8)+G305</f>
        <v>#N/A</v>
      </c>
      <c r="G305" s="593">
        <f>IF('III. INPUT-Baseline'!$I40=TRUE,0,IF('III. INPUT-Baseline'!$E$143=B304,0,IF('III. INPUT-Baseline'!$F$143=B304,0,IF('III. INPUT-Baseline'!$G$143=B304,0,IF('III. INPUT-Baseline'!$C$143="Yes",0,(F304-H304))))))</f>
        <v>0</v>
      </c>
      <c r="H305" s="158" t="e">
        <f t="shared" si="78"/>
        <v>#N/A</v>
      </c>
      <c r="I305" s="618">
        <f>IF('III. INPUT-Baseline'!D40=0,0,(H305*'III. INPUT-Baseline'!$C$117*0.68*0.001)*(('III. INPUT-Baseline'!G40-'III. INPUT-Baseline'!H40)/'III. INPUT-Baseline'!E40))</f>
        <v>0</v>
      </c>
      <c r="J305" s="158">
        <f t="shared" si="77"/>
        <v>0</v>
      </c>
    </row>
    <row r="306" spans="2:17" x14ac:dyDescent="0.25">
      <c r="B306" s="556" t="str">
        <f>'III. INPUT-Baseline'!$B$41</f>
        <v>-</v>
      </c>
      <c r="C306" s="594" t="e">
        <f>$C$28</f>
        <v>#N/A</v>
      </c>
      <c r="D306" s="151">
        <f>MIN(0.95, MAX(0.104,EXP(15175*(('III. INPUT-Baseline'!$C$41+273)-303.16)/(1.987*('III. INPUT-Baseline'!$C$41+273)*303.16))))</f>
        <v>0.104</v>
      </c>
      <c r="E306" s="366">
        <f t="shared" si="76"/>
        <v>0</v>
      </c>
      <c r="F306" s="158" t="e">
        <f>(E306*'III. INPUT-Baseline'!I79*'III. INPUT-Baseline'!$I$166*C306*0.8)+G306</f>
        <v>#N/A</v>
      </c>
      <c r="G306" s="593">
        <f>IF('III. INPUT-Baseline'!$I41=TRUE,0,IF('III. INPUT-Baseline'!$E$143=B305,0,IF('III. INPUT-Baseline'!$F$143=B305,0,IF('III. INPUT-Baseline'!$G$143=B305,0,IF('III. INPUT-Baseline'!$C$143="Yes",0,(F305-H305))))))</f>
        <v>0</v>
      </c>
      <c r="H306" s="158" t="e">
        <f t="shared" si="78"/>
        <v>#N/A</v>
      </c>
      <c r="I306" s="618">
        <f>IF('III. INPUT-Baseline'!D41=0,0,(H306*'III. INPUT-Baseline'!$C$117*0.68*0.001)*(('III. INPUT-Baseline'!G41-'III. INPUT-Baseline'!H41)/'III. INPUT-Baseline'!E41))</f>
        <v>0</v>
      </c>
      <c r="J306" s="158">
        <f t="shared" si="77"/>
        <v>0</v>
      </c>
    </row>
    <row r="307" spans="2:17" x14ac:dyDescent="0.25">
      <c r="B307" s="556" t="str">
        <f>'III. INPUT-Baseline'!$B$42</f>
        <v>-</v>
      </c>
      <c r="C307" s="594" t="e">
        <f>$C$29</f>
        <v>#N/A</v>
      </c>
      <c r="D307" s="151">
        <f>MIN(0.95, MAX(0.104,EXP(15175*(('III. INPUT-Baseline'!$C$42+273)-303.16)/(1.987*('III. INPUT-Baseline'!$C$42+273)*303.16))))</f>
        <v>0.104</v>
      </c>
      <c r="E307" s="366">
        <f t="shared" si="76"/>
        <v>0</v>
      </c>
      <c r="F307" s="158" t="e">
        <f>(E307*'III. INPUT-Baseline'!I80*'III. INPUT-Baseline'!$I$166*C307*0.8)+G307</f>
        <v>#N/A</v>
      </c>
      <c r="G307" s="593">
        <f>IF('III. INPUT-Baseline'!$I42=TRUE,0,IF('III. INPUT-Baseline'!$E$143=B306,0,IF('III. INPUT-Baseline'!$F$143=B306,0,IF('III. INPUT-Baseline'!$G$143=B306,0,IF('III. INPUT-Baseline'!$C$143="Yes",0,(F306-H306))))))</f>
        <v>0</v>
      </c>
      <c r="H307" s="158" t="e">
        <f t="shared" si="78"/>
        <v>#N/A</v>
      </c>
      <c r="I307" s="618">
        <f>IF('III. INPUT-Baseline'!D42=0,0,(H307*'III. INPUT-Baseline'!$C$117*0.68*0.001)*(('III. INPUT-Baseline'!G42-'III. INPUT-Baseline'!H42)/'III. INPUT-Baseline'!E42))</f>
        <v>0</v>
      </c>
      <c r="J307" s="158">
        <f t="shared" si="77"/>
        <v>0</v>
      </c>
    </row>
    <row r="308" spans="2:17" s="3" customFormat="1" ht="13" x14ac:dyDescent="0.3">
      <c r="B308" s="556" t="str">
        <f>'III. INPUT-Baseline'!$B$43</f>
        <v>-</v>
      </c>
      <c r="C308" s="594" t="e">
        <f>$C$30</f>
        <v>#N/A</v>
      </c>
      <c r="D308" s="151">
        <f>MIN(0.95, MAX(0.104,EXP(15175*(('III. INPUT-Baseline'!$C$43+273)-303.16)/(1.987*('III. INPUT-Baseline'!$C$43+273)*303.16))))</f>
        <v>0.104</v>
      </c>
      <c r="E308" s="366">
        <f t="shared" si="76"/>
        <v>0</v>
      </c>
      <c r="F308" s="158" t="e">
        <f>(E308*'III. INPUT-Baseline'!I81*'III. INPUT-Baseline'!$I$166*C308*0.8)+G308</f>
        <v>#N/A</v>
      </c>
      <c r="G308" s="593">
        <f>IF('III. INPUT-Baseline'!$I43=TRUE,0,IF('III. INPUT-Baseline'!$E$143=B307,0,IF('III. INPUT-Baseline'!$F$143=B307,0,IF('III. INPUT-Baseline'!$G$143=B307,0,IF('III. INPUT-Baseline'!$C$143="Yes",0,(F307-H307))))))</f>
        <v>0</v>
      </c>
      <c r="H308" s="158" t="e">
        <f t="shared" si="78"/>
        <v>#N/A</v>
      </c>
      <c r="I308" s="618">
        <f>IF('III. INPUT-Baseline'!D43=0,0,(H308*'III. INPUT-Baseline'!$C$117*0.68*0.001)*(('III. INPUT-Baseline'!G43-'III. INPUT-Baseline'!H43)/'III. INPUT-Baseline'!E43))</f>
        <v>0</v>
      </c>
      <c r="J308" s="158">
        <f t="shared" si="77"/>
        <v>0</v>
      </c>
      <c r="K308" s="153"/>
      <c r="L308" s="153"/>
      <c r="M308" s="154"/>
      <c r="N308" s="154"/>
      <c r="O308" s="4"/>
      <c r="Q308" s="153"/>
    </row>
    <row r="309" spans="2:17" x14ac:dyDescent="0.25">
      <c r="B309" s="556" t="str">
        <f>'III. INPUT-Baseline'!$B$44</f>
        <v>-</v>
      </c>
      <c r="C309" s="594" t="e">
        <f>$C$31</f>
        <v>#N/A</v>
      </c>
      <c r="D309" s="151">
        <f>MIN(0.95, MAX(0.104,EXP(15175*(('III. INPUT-Baseline'!$C$44+273)-303.16)/(1.987*('III. INPUT-Baseline'!$C$44+273)*303.16))))</f>
        <v>0.104</v>
      </c>
      <c r="E309" s="366">
        <f t="shared" si="76"/>
        <v>0</v>
      </c>
      <c r="F309" s="158" t="e">
        <f>(E309*'III. INPUT-Baseline'!I82*'III. INPUT-Baseline'!$I$166*C309*0.8)+G309</f>
        <v>#N/A</v>
      </c>
      <c r="G309" s="593">
        <f>IF('III. INPUT-Baseline'!$I44=TRUE,0,IF('III. INPUT-Baseline'!$E$143=B308,0,IF('III. INPUT-Baseline'!$F$143=B308,0,IF('III. INPUT-Baseline'!$G$143=B308,0,IF('III. INPUT-Baseline'!$C$143="Yes",0,(F308-H308))))))</f>
        <v>0</v>
      </c>
      <c r="H309" s="158" t="e">
        <f t="shared" si="78"/>
        <v>#N/A</v>
      </c>
      <c r="I309" s="618">
        <f>IF('III. INPUT-Baseline'!D44=0,0,(H309*'III. INPUT-Baseline'!$C$117*0.68*0.001)*(('III. INPUT-Baseline'!G44-'III. INPUT-Baseline'!H44)/'III. INPUT-Baseline'!E44))</f>
        <v>0</v>
      </c>
      <c r="J309" s="158">
        <f t="shared" si="77"/>
        <v>0</v>
      </c>
      <c r="K309" s="94"/>
      <c r="L309" s="94"/>
      <c r="M309" s="94"/>
      <c r="N309" s="156"/>
      <c r="O309" s="94"/>
      <c r="P309" s="156"/>
      <c r="Q309" s="156"/>
    </row>
    <row r="310" spans="2:17" s="3" customFormat="1" ht="13" x14ac:dyDescent="0.3">
      <c r="B310" s="556" t="str">
        <f>'III. INPUT-Baseline'!$B$45</f>
        <v>-</v>
      </c>
      <c r="C310" s="594" t="e">
        <f>$C$32</f>
        <v>#N/A</v>
      </c>
      <c r="D310" s="151">
        <f>MIN(0.95, MAX(0.104,EXP(15175*(('III. INPUT-Baseline'!$C$45+273)-303.16)/(1.987*('III. INPUT-Baseline'!$C$45+273)*303.16))))</f>
        <v>0.104</v>
      </c>
      <c r="E310" s="366">
        <f t="shared" si="76"/>
        <v>0</v>
      </c>
      <c r="F310" s="158" t="e">
        <f>(E310*'III. INPUT-Baseline'!I83*'III. INPUT-Baseline'!$I$166*C310*0.8)+G310</f>
        <v>#N/A</v>
      </c>
      <c r="G310" s="593">
        <f>IF('III. INPUT-Baseline'!$I45=TRUE,0,IF('III. INPUT-Baseline'!$E$143=B309,0,IF('III. INPUT-Baseline'!$F$143=B309,0,IF('III. INPUT-Baseline'!$G$143=B309,0,IF('III. INPUT-Baseline'!$C$143="Yes",0,(F309-H309))))))</f>
        <v>0</v>
      </c>
      <c r="H310" s="158" t="e">
        <f t="shared" si="78"/>
        <v>#N/A</v>
      </c>
      <c r="I310" s="618">
        <f>IF('III. INPUT-Baseline'!D45=0,0,(H310*'III. INPUT-Baseline'!$C$117*0.68*0.001)*(('III. INPUT-Baseline'!G45-'III. INPUT-Baseline'!H45)/'III. INPUT-Baseline'!E45))</f>
        <v>0</v>
      </c>
      <c r="J310" s="158">
        <f t="shared" si="77"/>
        <v>0</v>
      </c>
      <c r="K310" s="4"/>
      <c r="L310" s="4"/>
      <c r="M310" s="4"/>
      <c r="O310" s="4"/>
    </row>
    <row r="311" spans="2:17" ht="13" x14ac:dyDescent="0.3">
      <c r="B311" s="556" t="str">
        <f>'III. INPUT-Baseline'!$B$46</f>
        <v>-</v>
      </c>
      <c r="C311" s="594" t="e">
        <f>$C$33</f>
        <v>#N/A</v>
      </c>
      <c r="D311" s="151">
        <f>MIN(0.95, MAX(0.104,EXP(15175*(('III. INPUT-Baseline'!$C$46+273)-303.16)/(1.987*('III. INPUT-Baseline'!$C$46+273)*303.16))))</f>
        <v>0.104</v>
      </c>
      <c r="E311" s="366">
        <f t="shared" si="76"/>
        <v>0</v>
      </c>
      <c r="F311" s="158" t="e">
        <f>(E311*'III. INPUT-Baseline'!I84*'III. INPUT-Baseline'!$I$166*C311*0.8)+G311</f>
        <v>#N/A</v>
      </c>
      <c r="G311" s="593">
        <f>IF('III. INPUT-Baseline'!$I46=TRUE,0,IF('III. INPUT-Baseline'!$E$143=B310,0,IF('III. INPUT-Baseline'!$F$143=B310,0,IF('III. INPUT-Baseline'!$G$143=B310,0,IF('III. INPUT-Baseline'!$C$143="Yes",0,(F310-H310))))))</f>
        <v>0</v>
      </c>
      <c r="H311" s="158" t="e">
        <f t="shared" si="78"/>
        <v>#N/A</v>
      </c>
      <c r="I311" s="618">
        <f>IF('III. INPUT-Baseline'!D46=0,0,(H311*'III. INPUT-Baseline'!$C$117*0.68*0.001)*(('III. INPUT-Baseline'!G46-'III. INPUT-Baseline'!H46)/'III. INPUT-Baseline'!E46))</f>
        <v>0</v>
      </c>
      <c r="J311" s="158">
        <f t="shared" si="77"/>
        <v>0</v>
      </c>
      <c r="K311" s="4"/>
      <c r="L311" s="4"/>
      <c r="M311" s="4"/>
      <c r="O311" s="49"/>
    </row>
    <row r="312" spans="2:17" ht="13" x14ac:dyDescent="0.3">
      <c r="B312" s="609" t="str">
        <f>'III. INPUT-Baseline'!$B$47</f>
        <v>-</v>
      </c>
      <c r="C312" s="594" t="e">
        <f>$C$34</f>
        <v>#N/A</v>
      </c>
      <c r="D312" s="151">
        <f>MIN(0.95, MAX(0.104,EXP(15175*(('III. INPUT-Baseline'!$C$47+273)-303.16)/(1.987*('III. INPUT-Baseline'!$C$47+273)*303.16))))</f>
        <v>0.104</v>
      </c>
      <c r="E312" s="611">
        <f t="shared" si="76"/>
        <v>0</v>
      </c>
      <c r="F312" s="610" t="e">
        <f>(E312*'III. INPUT-Baseline'!I85*'III. INPUT-Baseline'!$I$166*C312*0.8)+G312</f>
        <v>#N/A</v>
      </c>
      <c r="G312" s="612">
        <f>IF('III. INPUT-Baseline'!$I47=TRUE,0,IF('III. INPUT-Baseline'!$E$143=B311,0,IF('III. INPUT-Baseline'!$F$143=B311,0,IF('III. INPUT-Baseline'!$G$143=B311,0,IF('III. INPUT-Baseline'!$C$143="Yes",0,(F311-H311))))))</f>
        <v>0</v>
      </c>
      <c r="H312" s="610" t="e">
        <f t="shared" ref="H312" si="79">F312*D312</f>
        <v>#N/A</v>
      </c>
      <c r="I312" s="618">
        <f>IF('III. INPUT-Baseline'!D47=0,0,(H312*'III. INPUT-Baseline'!$C$117*0.68*0.001)*(('III. INPUT-Baseline'!G47-'III. INPUT-Baseline'!H47)/'III. INPUT-Baseline'!E47))</f>
        <v>0</v>
      </c>
      <c r="J312" s="610">
        <f t="shared" ref="J312" si="80">I312*gwp_ch4</f>
        <v>0</v>
      </c>
      <c r="K312" s="4"/>
      <c r="L312" s="4"/>
      <c r="M312" s="4"/>
      <c r="O312" s="49"/>
    </row>
    <row r="313" spans="2:17" ht="13" x14ac:dyDescent="0.3">
      <c r="B313" s="596" t="s">
        <v>432</v>
      </c>
      <c r="C313" s="613"/>
      <c r="D313" s="598"/>
      <c r="E313" s="598"/>
      <c r="F313" s="614"/>
      <c r="G313" s="615"/>
      <c r="H313" s="605" t="e">
        <f>SUM(H300:H312)</f>
        <v>#N/A</v>
      </c>
      <c r="I313" s="605">
        <f t="shared" ref="I313:J313" si="81">SUM(I300:I312)</f>
        <v>0</v>
      </c>
      <c r="J313" s="605">
        <f t="shared" si="81"/>
        <v>0</v>
      </c>
      <c r="K313" s="4"/>
      <c r="L313" s="4"/>
      <c r="M313" s="4"/>
      <c r="O313" s="49"/>
    </row>
    <row r="314" spans="2:17" ht="13" x14ac:dyDescent="0.3">
      <c r="B314" s="3"/>
      <c r="C314" s="3"/>
      <c r="D314" s="60"/>
      <c r="E314" s="60"/>
      <c r="F314" s="61"/>
      <c r="G314" s="61"/>
      <c r="H314" s="61"/>
      <c r="I314" s="61"/>
      <c r="J314" s="61"/>
      <c r="K314" s="4"/>
      <c r="L314" s="4"/>
      <c r="M314" s="4"/>
      <c r="O314" s="49"/>
    </row>
    <row r="315" spans="2:17" ht="13" x14ac:dyDescent="0.3">
      <c r="B315" s="4"/>
      <c r="C315" s="4"/>
      <c r="D315" s="163"/>
      <c r="E315" s="656" t="s">
        <v>241</v>
      </c>
      <c r="F315" s="675"/>
      <c r="G315" s="675"/>
      <c r="H315" s="675"/>
      <c r="I315" s="675"/>
      <c r="J315" s="676"/>
      <c r="K315" s="34"/>
      <c r="L315" s="34"/>
      <c r="M315" s="34"/>
    </row>
    <row r="316" spans="2:17" ht="13" x14ac:dyDescent="0.3">
      <c r="B316" s="3"/>
      <c r="C316" s="49"/>
      <c r="E316" s="677"/>
      <c r="F316" s="678"/>
      <c r="G316" s="678"/>
      <c r="H316" s="678"/>
      <c r="I316" s="678"/>
      <c r="J316" s="679"/>
      <c r="K316" s="94"/>
      <c r="L316" s="94"/>
      <c r="O316" s="49"/>
      <c r="P316" s="25"/>
    </row>
    <row r="317" spans="2:17" ht="26" x14ac:dyDescent="0.3">
      <c r="B317" s="585">
        <f>'III. INPUT-Baseline'!B61</f>
        <v>0</v>
      </c>
      <c r="C317" s="585" t="str">
        <f>'III. INPUT-Baseline'!B125</f>
        <v>Uncovered anaerobic lagoon</v>
      </c>
      <c r="D317" s="149"/>
      <c r="E317" s="680"/>
      <c r="F317" s="681"/>
      <c r="G317" s="681"/>
      <c r="H317" s="681"/>
      <c r="I317" s="681"/>
      <c r="J317" s="682"/>
      <c r="N317" s="3"/>
      <c r="O317" s="49"/>
    </row>
    <row r="318" spans="2:17" ht="15" x14ac:dyDescent="0.4">
      <c r="B318" s="546" t="s">
        <v>423</v>
      </c>
      <c r="C318" s="586">
        <f>'III. INPUT-Baseline'!D104</f>
        <v>0</v>
      </c>
      <c r="E318" s="61"/>
      <c r="F318" s="60"/>
      <c r="G318" s="60"/>
      <c r="H318" s="60"/>
      <c r="I318" s="60"/>
      <c r="J318" s="60"/>
    </row>
    <row r="319" spans="2:17" ht="13" x14ac:dyDescent="0.3">
      <c r="B319" s="616"/>
      <c r="C319" s="617"/>
      <c r="E319" s="61"/>
      <c r="F319" s="60"/>
      <c r="G319" s="60"/>
      <c r="H319" s="60"/>
      <c r="I319" s="60"/>
      <c r="J319" s="60"/>
    </row>
    <row r="320" spans="2:17" ht="29" x14ac:dyDescent="0.4">
      <c r="B320" s="136" t="s">
        <v>246</v>
      </c>
      <c r="C320" s="136" t="s">
        <v>424</v>
      </c>
      <c r="D320" s="606" t="s">
        <v>425</v>
      </c>
      <c r="E320" s="590" t="s">
        <v>426</v>
      </c>
      <c r="F320" s="591" t="s">
        <v>427</v>
      </c>
      <c r="G320" s="590" t="s">
        <v>428</v>
      </c>
      <c r="H320" s="591" t="s">
        <v>429</v>
      </c>
      <c r="I320" s="591" t="s">
        <v>430</v>
      </c>
      <c r="J320" s="591" t="s">
        <v>431</v>
      </c>
      <c r="K320" s="34"/>
      <c r="L320" s="34"/>
      <c r="M320" s="34"/>
    </row>
    <row r="321" spans="2:17" x14ac:dyDescent="0.25">
      <c r="B321" s="556" t="str">
        <f>'III. INPUT-Baseline'!$B$35</f>
        <v>-</v>
      </c>
      <c r="C321" s="594" t="e">
        <f>$C$22</f>
        <v>#N/A</v>
      </c>
      <c r="D321" s="151">
        <f>MIN(0.95, MAX(0.104,EXP(15175*(('III. INPUT-Baseline'!$C$35+273)-303.16)/(1.987*('III. INPUT-Baseline'!$C$35+273)*303.16))))</f>
        <v>0.104</v>
      </c>
      <c r="E321" s="366">
        <f t="shared" ref="E321:E333" si="82">$C$318</f>
        <v>0</v>
      </c>
      <c r="F321" s="158" t="e">
        <f>(E321*'III. INPUT-Baseline'!J73*'III. INPUT-Baseline'!$J$165*C321*0.8)+G321</f>
        <v>#N/A</v>
      </c>
      <c r="G321" s="592">
        <v>0</v>
      </c>
      <c r="H321" s="158" t="e">
        <f>F321*D321</f>
        <v>#N/A</v>
      </c>
      <c r="I321" s="618">
        <f>IF('III. INPUT-Baseline'!D35=0,0,(H321*'III. INPUT-Baseline'!$C$118*0.68*0.001)*(('III. INPUT-Baseline'!G35-'III. INPUT-Baseline'!H35)/'III. INPUT-Baseline'!E35))</f>
        <v>0</v>
      </c>
      <c r="J321" s="158">
        <f t="shared" ref="J321:J332" si="83">I321*gwp_ch4</f>
        <v>0</v>
      </c>
    </row>
    <row r="322" spans="2:17" x14ac:dyDescent="0.25">
      <c r="B322" s="556" t="str">
        <f>'III. INPUT-Baseline'!$B$36</f>
        <v>-</v>
      </c>
      <c r="C322" s="594" t="e">
        <f>$C$23</f>
        <v>#N/A</v>
      </c>
      <c r="D322" s="151">
        <f>MIN(0.95, MAX(0.104,EXP(15175*(('III. INPUT-Baseline'!$C$36+273)-303.16)/(1.987*('III. INPUT-Baseline'!$C$36+273)*303.16))))</f>
        <v>0.104</v>
      </c>
      <c r="E322" s="366">
        <f t="shared" si="82"/>
        <v>0</v>
      </c>
      <c r="F322" s="158" t="e">
        <f>(E322*'III. INPUT-Baseline'!J74*'III. INPUT-Baseline'!$J$165*C322*0.8)+G322</f>
        <v>#N/A</v>
      </c>
      <c r="G322" s="593" t="e">
        <f>IF('III. INPUT-Baseline'!$I$36=TRUE,0,IF('III. INPUT-Baseline'!$E$142=B321,0,IF('III. INPUT-Baseline'!$F$142=B321,0,IF('III. INPUT-Baseline'!$G$142=B321,0,IF('III. INPUT-Baseline'!$C$142="Yes",0,(F321-H321))))))</f>
        <v>#N/A</v>
      </c>
      <c r="H322" s="158" t="e">
        <f t="shared" ref="H322:H332" si="84">F322*D322</f>
        <v>#N/A</v>
      </c>
      <c r="I322" s="618">
        <f>IF('III. INPUT-Baseline'!D36=0,0,(H322*'III. INPUT-Baseline'!$C$118*0.68*0.001)*(('III. INPUT-Baseline'!G36-'III. INPUT-Baseline'!H36)/'III. INPUT-Baseline'!E36))</f>
        <v>0</v>
      </c>
      <c r="J322" s="158">
        <f t="shared" si="83"/>
        <v>0</v>
      </c>
    </row>
    <row r="323" spans="2:17" x14ac:dyDescent="0.25">
      <c r="B323" s="556" t="str">
        <f>'III. INPUT-Baseline'!$B$37</f>
        <v>-</v>
      </c>
      <c r="C323" s="594" t="e">
        <f>$C$24</f>
        <v>#N/A</v>
      </c>
      <c r="D323" s="151">
        <f>MIN(0.95, MAX(0.104,EXP(15175*(('III. INPUT-Baseline'!$C$37+273)-303.16)/(1.987*('III. INPUT-Baseline'!$C$37+273)*303.16))))</f>
        <v>0.104</v>
      </c>
      <c r="E323" s="366">
        <f t="shared" si="82"/>
        <v>0</v>
      </c>
      <c r="F323" s="158" t="e">
        <f>(E323*'III. INPUT-Baseline'!J75*'III. INPUT-Baseline'!$J$165*C323*0.8)+G323</f>
        <v>#N/A</v>
      </c>
      <c r="G323" s="593" t="e">
        <f>IF('III. INPUT-Baseline'!$I$37=TRUE,0,IF('III. INPUT-Baseline'!$E$142=B322,0,IF('III. INPUT-Baseline'!$F$142=B322,0,IF('III. INPUT-Baseline'!$G$142=B322,0,IF('III. INPUT-Baseline'!$C$142="Yes",0,(F322-H322))))))</f>
        <v>#N/A</v>
      </c>
      <c r="H323" s="158" t="e">
        <f t="shared" si="84"/>
        <v>#N/A</v>
      </c>
      <c r="I323" s="618">
        <f>IF('III. INPUT-Baseline'!D37=0,0,(H323*'III. INPUT-Baseline'!$C$118*0.68*0.001)*(('III. INPUT-Baseline'!G37-'III. INPUT-Baseline'!H37)/'III. INPUT-Baseline'!E37))</f>
        <v>0</v>
      </c>
      <c r="J323" s="158">
        <f t="shared" si="83"/>
        <v>0</v>
      </c>
    </row>
    <row r="324" spans="2:17" x14ac:dyDescent="0.25">
      <c r="B324" s="556" t="str">
        <f>'III. INPUT-Baseline'!$B$38</f>
        <v>-</v>
      </c>
      <c r="C324" s="594" t="e">
        <f>$C$25</f>
        <v>#N/A</v>
      </c>
      <c r="D324" s="151">
        <f>MIN(0.95, MAX(0.104,EXP(15175*(('III. INPUT-Baseline'!$C$38+273)-303.16)/(1.987*('III. INPUT-Baseline'!$C$38+273)*303.16))))</f>
        <v>0.104</v>
      </c>
      <c r="E324" s="366">
        <f t="shared" si="82"/>
        <v>0</v>
      </c>
      <c r="F324" s="158" t="e">
        <f>(E324*'III. INPUT-Baseline'!J76*'III. INPUT-Baseline'!$J$165*C324*0.8)+G324</f>
        <v>#N/A</v>
      </c>
      <c r="G324" s="593" t="e">
        <f>IF('III. INPUT-Baseline'!$I$38=TRUE,0,IF('III. INPUT-Baseline'!$E$142=B323,0,IF('III. INPUT-Baseline'!$F$142=B323,0,IF('III. INPUT-Baseline'!$G$142=B323,0,IF('III. INPUT-Baseline'!$C$142="Yes",0,(F323-H323))))))</f>
        <v>#N/A</v>
      </c>
      <c r="H324" s="158" t="e">
        <f t="shared" si="84"/>
        <v>#N/A</v>
      </c>
      <c r="I324" s="618">
        <f>IF('III. INPUT-Baseline'!D38=0,0,(H324*'III. INPUT-Baseline'!$C$118*0.68*0.001)*(('III. INPUT-Baseline'!G38-'III. INPUT-Baseline'!H38)/'III. INPUT-Baseline'!E38))</f>
        <v>0</v>
      </c>
      <c r="J324" s="158">
        <f t="shared" si="83"/>
        <v>0</v>
      </c>
    </row>
    <row r="325" spans="2:17" x14ac:dyDescent="0.25">
      <c r="B325" s="556" t="str">
        <f>'III. INPUT-Baseline'!$B$39</f>
        <v>-</v>
      </c>
      <c r="C325" s="594" t="e">
        <f>$C$26</f>
        <v>#N/A</v>
      </c>
      <c r="D325" s="151">
        <f>MIN(0.95, MAX(0.104,EXP(15175*(('III. INPUT-Baseline'!$C$39+273)-303.16)/(1.987*('III. INPUT-Baseline'!$C$39+273)*303.16))))</f>
        <v>0.104</v>
      </c>
      <c r="E325" s="366">
        <f t="shared" si="82"/>
        <v>0</v>
      </c>
      <c r="F325" s="158" t="e">
        <f>(E325*'III. INPUT-Baseline'!J77*'III. INPUT-Baseline'!$J$165*C325*0.8)+G325</f>
        <v>#N/A</v>
      </c>
      <c r="G325" s="593" t="e">
        <f>IF('III. INPUT-Baseline'!$I$39=TRUE,0,IF('III. INPUT-Baseline'!$E$142=B324,0,IF('III. INPUT-Baseline'!$F$142=B324,0,IF('III. INPUT-Baseline'!$G$142=B324,0,IF('III. INPUT-Baseline'!$C$142="Yes",0,(F324-H324))))))</f>
        <v>#N/A</v>
      </c>
      <c r="H325" s="158" t="e">
        <f t="shared" si="84"/>
        <v>#N/A</v>
      </c>
      <c r="I325" s="618">
        <f>IF('III. INPUT-Baseline'!D39=0,0,(H325*'III. INPUT-Baseline'!$C$118*0.68*0.001)*(('III. INPUT-Baseline'!G39-'III. INPUT-Baseline'!H39)/'III. INPUT-Baseline'!E39))</f>
        <v>0</v>
      </c>
      <c r="J325" s="158">
        <f t="shared" si="83"/>
        <v>0</v>
      </c>
    </row>
    <row r="326" spans="2:17" x14ac:dyDescent="0.25">
      <c r="B326" s="556" t="str">
        <f>'III. INPUT-Baseline'!$B$40</f>
        <v>-</v>
      </c>
      <c r="C326" s="594" t="e">
        <f>$C$27</f>
        <v>#N/A</v>
      </c>
      <c r="D326" s="151">
        <f>MIN(0.95, MAX(0.104,EXP(15175*(('III. INPUT-Baseline'!$C$40+273)-303.16)/(1.987*('III. INPUT-Baseline'!$C$40+273)*303.16))))</f>
        <v>0.104</v>
      </c>
      <c r="E326" s="366">
        <f t="shared" si="82"/>
        <v>0</v>
      </c>
      <c r="F326" s="158" t="e">
        <f>(E326*'III. INPUT-Baseline'!J78*'III. INPUT-Baseline'!$J$165*C326*0.8)+G326</f>
        <v>#N/A</v>
      </c>
      <c r="G326" s="593" t="e">
        <f>IF('III. INPUT-Baseline'!$I$40=TRUE,0,IF('III. INPUT-Baseline'!$E$142=B325,0,IF('III. INPUT-Baseline'!$F$142=B325,0,IF('III. INPUT-Baseline'!$G$142=B325,0,IF('III. INPUT-Baseline'!$C$142="Yes",0,(F325-H325))))))</f>
        <v>#N/A</v>
      </c>
      <c r="H326" s="158" t="e">
        <f t="shared" si="84"/>
        <v>#N/A</v>
      </c>
      <c r="I326" s="618">
        <f>IF('III. INPUT-Baseline'!D40=0,0,(H326*'III. INPUT-Baseline'!$C$118*0.68*0.001)*(('III. INPUT-Baseline'!G40-'III. INPUT-Baseline'!H40)/'III. INPUT-Baseline'!E40))</f>
        <v>0</v>
      </c>
      <c r="J326" s="158">
        <f t="shared" si="83"/>
        <v>0</v>
      </c>
    </row>
    <row r="327" spans="2:17" x14ac:dyDescent="0.25">
      <c r="B327" s="556" t="str">
        <f>'III. INPUT-Baseline'!$B$41</f>
        <v>-</v>
      </c>
      <c r="C327" s="594" t="e">
        <f>$C$28</f>
        <v>#N/A</v>
      </c>
      <c r="D327" s="151">
        <f>MIN(0.95, MAX(0.104,EXP(15175*(('III. INPUT-Baseline'!$C$41+273)-303.16)/(1.987*('III. INPUT-Baseline'!$C$41+273)*303.16))))</f>
        <v>0.104</v>
      </c>
      <c r="E327" s="366">
        <f t="shared" si="82"/>
        <v>0</v>
      </c>
      <c r="F327" s="158" t="e">
        <f>(E327*'III. INPUT-Baseline'!J79*'III. INPUT-Baseline'!$J$165*C327*0.8)+G327</f>
        <v>#N/A</v>
      </c>
      <c r="G327" s="593" t="e">
        <f>IF('III. INPUT-Baseline'!$I$41=TRUE,0,IF('III. INPUT-Baseline'!$E$142=B326,0,IF('III. INPUT-Baseline'!$F$142=B326,0,IF('III. INPUT-Baseline'!$G$142=B326,0,IF('III. INPUT-Baseline'!$C$142="Yes",0,(F326-H326))))))</f>
        <v>#N/A</v>
      </c>
      <c r="H327" s="158" t="e">
        <f t="shared" si="84"/>
        <v>#N/A</v>
      </c>
      <c r="I327" s="618">
        <f>IF('III. INPUT-Baseline'!D41=0,0,(H327*'III. INPUT-Baseline'!$C$118*0.68*0.001)*(('III. INPUT-Baseline'!G41-'III. INPUT-Baseline'!H41)/'III. INPUT-Baseline'!E41))</f>
        <v>0</v>
      </c>
      <c r="J327" s="158">
        <f t="shared" si="83"/>
        <v>0</v>
      </c>
    </row>
    <row r="328" spans="2:17" x14ac:dyDescent="0.25">
      <c r="B328" s="556" t="str">
        <f>'III. INPUT-Baseline'!$B$42</f>
        <v>-</v>
      </c>
      <c r="C328" s="594" t="e">
        <f>$C$29</f>
        <v>#N/A</v>
      </c>
      <c r="D328" s="151">
        <f>MIN(0.95, MAX(0.104,EXP(15175*(('III. INPUT-Baseline'!$C$42+273)-303.16)/(1.987*('III. INPUT-Baseline'!$C$42+273)*303.16))))</f>
        <v>0.104</v>
      </c>
      <c r="E328" s="366">
        <f t="shared" si="82"/>
        <v>0</v>
      </c>
      <c r="F328" s="158" t="e">
        <f>(E328*'III. INPUT-Baseline'!J80*'III. INPUT-Baseline'!$J$165*C328*0.8)+G328</f>
        <v>#N/A</v>
      </c>
      <c r="G328" s="593" t="e">
        <f>IF('III. INPUT-Baseline'!$I$42=TRUE,0,IF('III. INPUT-Baseline'!$E$142=B327,0,IF('III. INPUT-Baseline'!$F$142=B327,0,IF('III. INPUT-Baseline'!$G$142=B327,0,IF('III. INPUT-Baseline'!$C$142="Yes",0,(F327-H327))))))</f>
        <v>#N/A</v>
      </c>
      <c r="H328" s="158" t="e">
        <f t="shared" si="84"/>
        <v>#N/A</v>
      </c>
      <c r="I328" s="618">
        <f>IF('III. INPUT-Baseline'!D42=0,0,(H328*'III. INPUT-Baseline'!$C$118*0.68*0.001)*(('III. INPUT-Baseline'!G42-'III. INPUT-Baseline'!H42)/'III. INPUT-Baseline'!E42))</f>
        <v>0</v>
      </c>
      <c r="J328" s="158">
        <f t="shared" si="83"/>
        <v>0</v>
      </c>
    </row>
    <row r="329" spans="2:17" s="3" customFormat="1" ht="13" x14ac:dyDescent="0.3">
      <c r="B329" s="556" t="str">
        <f>'III. INPUT-Baseline'!$B$43</f>
        <v>-</v>
      </c>
      <c r="C329" s="594" t="e">
        <f>$C$30</f>
        <v>#N/A</v>
      </c>
      <c r="D329" s="151">
        <f>MIN(0.95, MAX(0.104,EXP(15175*(('III. INPUT-Baseline'!$C$43+273)-303.16)/(1.987*('III. INPUT-Baseline'!$C$43+273)*303.16))))</f>
        <v>0.104</v>
      </c>
      <c r="E329" s="366">
        <f t="shared" si="82"/>
        <v>0</v>
      </c>
      <c r="F329" s="158" t="e">
        <f>(E329*'III. INPUT-Baseline'!J81*'III. INPUT-Baseline'!$J$165*C329*0.8)+G329</f>
        <v>#N/A</v>
      </c>
      <c r="G329" s="593" t="e">
        <f>IF('III. INPUT-Baseline'!$I$43=TRUE,0,IF('III. INPUT-Baseline'!$E$142=B328,0,IF('III. INPUT-Baseline'!$F$142=B328,0,IF('III. INPUT-Baseline'!$G$142=B328,0,IF('III. INPUT-Baseline'!$C$142="Yes",0,(F328-H328))))))</f>
        <v>#N/A</v>
      </c>
      <c r="H329" s="158" t="e">
        <f t="shared" si="84"/>
        <v>#N/A</v>
      </c>
      <c r="I329" s="618">
        <f>IF('III. INPUT-Baseline'!D43=0,0,(H329*'III. INPUT-Baseline'!$C$118*0.68*0.001)*(('III. INPUT-Baseline'!G43-'III. INPUT-Baseline'!H43)/'III. INPUT-Baseline'!E43))</f>
        <v>0</v>
      </c>
      <c r="J329" s="158">
        <f t="shared" si="83"/>
        <v>0</v>
      </c>
      <c r="K329" s="153"/>
      <c r="L329" s="153"/>
      <c r="M329" s="154"/>
      <c r="N329" s="154"/>
      <c r="O329" s="4"/>
      <c r="Q329" s="153"/>
    </row>
    <row r="330" spans="2:17" x14ac:dyDescent="0.25">
      <c r="B330" s="556" t="str">
        <f>'III. INPUT-Baseline'!$B$44</f>
        <v>-</v>
      </c>
      <c r="C330" s="594" t="e">
        <f>$C$31</f>
        <v>#N/A</v>
      </c>
      <c r="D330" s="151">
        <f>MIN(0.95, MAX(0.104,EXP(15175*(('III. INPUT-Baseline'!$C$44+273)-303.16)/(1.987*('III. INPUT-Baseline'!$C$44+273)*303.16))))</f>
        <v>0.104</v>
      </c>
      <c r="E330" s="366">
        <f t="shared" si="82"/>
        <v>0</v>
      </c>
      <c r="F330" s="158" t="e">
        <f>(E330*'III. INPUT-Baseline'!J82*'III. INPUT-Baseline'!$J$165*C330*0.8)+G330</f>
        <v>#N/A</v>
      </c>
      <c r="G330" s="593" t="e">
        <f>IF('III. INPUT-Baseline'!$I$44=TRUE,0,IF('III. INPUT-Baseline'!$E$142=B329,0,IF('III. INPUT-Baseline'!$F$142=B329,0,IF('III. INPUT-Baseline'!$G$142=B329,0,IF('III. INPUT-Baseline'!$C$142="Yes",0,(F329-H329))))))</f>
        <v>#N/A</v>
      </c>
      <c r="H330" s="158" t="e">
        <f t="shared" si="84"/>
        <v>#N/A</v>
      </c>
      <c r="I330" s="618">
        <f>IF('III. INPUT-Baseline'!D44=0,0,(H330*'III. INPUT-Baseline'!$C$118*0.68*0.001)*(('III. INPUT-Baseline'!G44-'III. INPUT-Baseline'!H44)/'III. INPUT-Baseline'!E44))</f>
        <v>0</v>
      </c>
      <c r="J330" s="158">
        <f t="shared" si="83"/>
        <v>0</v>
      </c>
      <c r="K330" s="94"/>
      <c r="L330" s="94"/>
      <c r="M330" s="94"/>
      <c r="N330" s="156"/>
      <c r="O330" s="94"/>
      <c r="P330" s="156"/>
      <c r="Q330" s="156"/>
    </row>
    <row r="331" spans="2:17" s="3" customFormat="1" ht="13" x14ac:dyDescent="0.3">
      <c r="B331" s="556" t="str">
        <f>'III. INPUT-Baseline'!$B$45</f>
        <v>-</v>
      </c>
      <c r="C331" s="594" t="e">
        <f>$C$32</f>
        <v>#N/A</v>
      </c>
      <c r="D331" s="151">
        <f>MIN(0.95, MAX(0.104,EXP(15175*(('III. INPUT-Baseline'!$C$45+273)-303.16)/(1.987*('III. INPUT-Baseline'!$C$45+273)*303.16))))</f>
        <v>0.104</v>
      </c>
      <c r="E331" s="366">
        <f t="shared" si="82"/>
        <v>0</v>
      </c>
      <c r="F331" s="158" t="e">
        <f>(E331*'III. INPUT-Baseline'!J83*'III. INPUT-Baseline'!$J$165*C331*0.8)+G331</f>
        <v>#N/A</v>
      </c>
      <c r="G331" s="593" t="e">
        <f>IF('III. INPUT-Baseline'!$I$45=TRUE,0,IF('III. INPUT-Baseline'!$E$142=B330,0,IF('III. INPUT-Baseline'!$F$142=B330,0,IF('III. INPUT-Baseline'!$G$142=B330,0,IF('III. INPUT-Baseline'!$C$142="Yes",0,(F330-H330))))))</f>
        <v>#N/A</v>
      </c>
      <c r="H331" s="158" t="e">
        <f t="shared" si="84"/>
        <v>#N/A</v>
      </c>
      <c r="I331" s="618">
        <f>IF('III. INPUT-Baseline'!D45=0,0,(H331*'III. INPUT-Baseline'!$C$118*0.68*0.001)*(('III. INPUT-Baseline'!G45-'III. INPUT-Baseline'!H45)/'III. INPUT-Baseline'!E45))</f>
        <v>0</v>
      </c>
      <c r="J331" s="158">
        <f t="shared" si="83"/>
        <v>0</v>
      </c>
      <c r="K331" s="4"/>
      <c r="L331" s="4"/>
      <c r="M331" s="4"/>
      <c r="O331" s="4"/>
    </row>
    <row r="332" spans="2:17" ht="13" x14ac:dyDescent="0.3">
      <c r="B332" s="556" t="str">
        <f>'III. INPUT-Baseline'!$B$46</f>
        <v>-</v>
      </c>
      <c r="C332" s="594" t="e">
        <f>$C$33</f>
        <v>#N/A</v>
      </c>
      <c r="D332" s="151">
        <f>MIN(0.95, MAX(0.104,EXP(15175*(('III. INPUT-Baseline'!$C$46+273)-303.16)/(1.987*('III. INPUT-Baseline'!$C$46+273)*303.16))))</f>
        <v>0.104</v>
      </c>
      <c r="E332" s="366">
        <f t="shared" si="82"/>
        <v>0</v>
      </c>
      <c r="F332" s="158" t="e">
        <f>(E332*'III. INPUT-Baseline'!J84*'III. INPUT-Baseline'!$J$165*C332*0.8)+G332</f>
        <v>#N/A</v>
      </c>
      <c r="G332" s="593" t="e">
        <f>IF('III. INPUT-Baseline'!$I$46=TRUE,0,IF('III. INPUT-Baseline'!$E$142=B331,0,IF('III. INPUT-Baseline'!$F$142=B331,0,IF('III. INPUT-Baseline'!$G$142=B331,0,IF('III. INPUT-Baseline'!$C$142="Yes",0,(F331-H331))))))</f>
        <v>#N/A</v>
      </c>
      <c r="H332" s="158" t="e">
        <f t="shared" si="84"/>
        <v>#N/A</v>
      </c>
      <c r="I332" s="618">
        <f>IF('III. INPUT-Baseline'!D46=0,0,(H332*'III. INPUT-Baseline'!$C$118*0.68*0.001)*(('III. INPUT-Baseline'!G46-'III. INPUT-Baseline'!H46)/'III. INPUT-Baseline'!E46))</f>
        <v>0</v>
      </c>
      <c r="J332" s="158">
        <f t="shared" si="83"/>
        <v>0</v>
      </c>
      <c r="K332" s="4"/>
      <c r="L332" s="4"/>
      <c r="M332" s="4"/>
      <c r="O332" s="49"/>
    </row>
    <row r="333" spans="2:17" ht="13" x14ac:dyDescent="0.3">
      <c r="B333" s="609" t="str">
        <f>'III. INPUT-Baseline'!$B$47</f>
        <v>-</v>
      </c>
      <c r="C333" s="594" t="e">
        <f>$C$34</f>
        <v>#N/A</v>
      </c>
      <c r="D333" s="151">
        <f>MIN(0.95, MAX(0.104,EXP(15175*(('III. INPUT-Baseline'!$C$47+273)-303.16)/(1.987*('III. INPUT-Baseline'!$C$47+273)*303.16))))</f>
        <v>0.104</v>
      </c>
      <c r="E333" s="611">
        <f t="shared" si="82"/>
        <v>0</v>
      </c>
      <c r="F333" s="610" t="e">
        <f>(E333*'III. INPUT-Baseline'!J85*'III. INPUT-Baseline'!$J$165*C333*0.8)+G333</f>
        <v>#N/A</v>
      </c>
      <c r="G333" s="612" t="e">
        <f>IF('III. INPUT-Baseline'!$I$46=TRUE,0,IF('III. INPUT-Baseline'!$E$142=B332,0,IF('III. INPUT-Baseline'!$F$142=B332,0,IF('III. INPUT-Baseline'!$G$142=B332,0,IF('III. INPUT-Baseline'!$C$142="Yes",0,(F332-H332))))))</f>
        <v>#N/A</v>
      </c>
      <c r="H333" s="610" t="e">
        <f t="shared" ref="H333" si="85">F333*D333</f>
        <v>#N/A</v>
      </c>
      <c r="I333" s="618">
        <f>IF('III. INPUT-Baseline'!D47=0,0,(H333*'III. INPUT-Baseline'!$C$118*0.68*0.001)*(('III. INPUT-Baseline'!G47-'III. INPUT-Baseline'!H47)/'III. INPUT-Baseline'!E47))</f>
        <v>0</v>
      </c>
      <c r="J333" s="610">
        <f t="shared" ref="J333" si="86">I333*gwp_ch4</f>
        <v>0</v>
      </c>
      <c r="K333" s="4"/>
      <c r="L333" s="4"/>
      <c r="M333" s="4"/>
      <c r="O333" s="49"/>
    </row>
    <row r="334" spans="2:17" ht="13" x14ac:dyDescent="0.3">
      <c r="B334" s="596" t="s">
        <v>432</v>
      </c>
      <c r="C334" s="613"/>
      <c r="D334" s="598"/>
      <c r="E334" s="598"/>
      <c r="F334" s="614"/>
      <c r="G334" s="615"/>
      <c r="H334" s="605" t="e">
        <f>SUM(H321:H333)</f>
        <v>#N/A</v>
      </c>
      <c r="I334" s="605">
        <f t="shared" ref="I334:J334" si="87">SUM(I321:I333)</f>
        <v>0</v>
      </c>
      <c r="J334" s="605">
        <f t="shared" si="87"/>
        <v>0</v>
      </c>
      <c r="K334" s="4"/>
      <c r="L334" s="4"/>
      <c r="M334" s="4"/>
      <c r="O334" s="49"/>
    </row>
    <row r="335" spans="2:17" ht="13" x14ac:dyDescent="0.3">
      <c r="B335" s="3"/>
      <c r="C335" s="3"/>
      <c r="D335" s="60"/>
      <c r="E335" s="60"/>
      <c r="F335" s="61"/>
      <c r="G335" s="61"/>
      <c r="H335" s="61"/>
      <c r="I335" s="61"/>
      <c r="J335" s="61"/>
    </row>
    <row r="336" spans="2:17" ht="13" x14ac:dyDescent="0.3">
      <c r="B336" s="3"/>
      <c r="C336" s="49"/>
      <c r="E336" s="656" t="s">
        <v>241</v>
      </c>
      <c r="F336" s="675"/>
      <c r="G336" s="675"/>
      <c r="H336" s="675"/>
      <c r="I336" s="675"/>
      <c r="J336" s="676"/>
    </row>
    <row r="337" spans="2:17" ht="13" x14ac:dyDescent="0.3">
      <c r="B337" s="3"/>
      <c r="C337" s="49"/>
      <c r="E337" s="677"/>
      <c r="F337" s="678"/>
      <c r="G337" s="678"/>
      <c r="H337" s="678"/>
      <c r="I337" s="678"/>
      <c r="J337" s="679"/>
    </row>
    <row r="338" spans="2:17" ht="13" x14ac:dyDescent="0.3">
      <c r="B338" s="3"/>
      <c r="C338" s="49"/>
      <c r="E338" s="680"/>
      <c r="F338" s="681"/>
      <c r="G338" s="681"/>
      <c r="H338" s="681"/>
      <c r="I338" s="681"/>
      <c r="J338" s="682"/>
    </row>
    <row r="339" spans="2:17" ht="13" x14ac:dyDescent="0.3">
      <c r="B339" s="585">
        <f>B317</f>
        <v>0</v>
      </c>
      <c r="C339" s="585">
        <f>'III. INPUT-Baseline'!B126</f>
        <v>0</v>
      </c>
      <c r="D339" s="149"/>
      <c r="E339" s="60"/>
      <c r="F339" s="60"/>
      <c r="G339" s="60"/>
      <c r="H339" s="60"/>
      <c r="I339" s="60"/>
      <c r="J339" s="60"/>
    </row>
    <row r="340" spans="2:17" ht="15" x14ac:dyDescent="0.4">
      <c r="B340" s="546" t="s">
        <v>423</v>
      </c>
      <c r="C340" s="586">
        <f>C318</f>
        <v>0</v>
      </c>
      <c r="E340" s="61"/>
      <c r="F340" s="60"/>
      <c r="G340" s="60"/>
      <c r="H340" s="60"/>
      <c r="I340" s="60"/>
      <c r="J340" s="60"/>
    </row>
    <row r="341" spans="2:17" ht="13" x14ac:dyDescent="0.3">
      <c r="B341" s="616"/>
      <c r="C341" s="617"/>
      <c r="E341" s="61"/>
      <c r="F341" s="60"/>
      <c r="G341" s="60"/>
      <c r="H341" s="60"/>
      <c r="I341" s="60"/>
      <c r="J341" s="60"/>
    </row>
    <row r="342" spans="2:17" ht="29" x14ac:dyDescent="0.4">
      <c r="B342" s="136" t="s">
        <v>246</v>
      </c>
      <c r="C342" s="136" t="s">
        <v>424</v>
      </c>
      <c r="D342" s="606" t="s">
        <v>425</v>
      </c>
      <c r="E342" s="590" t="s">
        <v>426</v>
      </c>
      <c r="F342" s="591" t="s">
        <v>427</v>
      </c>
      <c r="G342" s="590" t="s">
        <v>428</v>
      </c>
      <c r="H342" s="591" t="s">
        <v>429</v>
      </c>
      <c r="I342" s="591" t="s">
        <v>430</v>
      </c>
      <c r="J342" s="591" t="s">
        <v>431</v>
      </c>
      <c r="K342" s="34"/>
      <c r="L342" s="34"/>
      <c r="M342" s="34"/>
    </row>
    <row r="343" spans="2:17" x14ac:dyDescent="0.25">
      <c r="B343" s="556" t="str">
        <f>'III. INPUT-Baseline'!$B$35</f>
        <v>-</v>
      </c>
      <c r="C343" s="594" t="e">
        <f>$C$22</f>
        <v>#N/A</v>
      </c>
      <c r="D343" s="151">
        <f>MIN(0.95, MAX(0.104,EXP(15175*(('III. INPUT-Baseline'!$C$35+273)-303.16)/(1.987*('III. INPUT-Baseline'!$C$35+273)*303.16))))</f>
        <v>0.104</v>
      </c>
      <c r="E343" s="366">
        <f t="shared" ref="E343:E355" si="88">$C$340</f>
        <v>0</v>
      </c>
      <c r="F343" s="158" t="e">
        <f>(E343*'III. INPUT-Baseline'!J73*'III. INPUT-Baseline'!$J$166*C343*0.8)+G343</f>
        <v>#N/A</v>
      </c>
      <c r="G343" s="592">
        <v>0</v>
      </c>
      <c r="H343" s="158" t="e">
        <f>F343*D343</f>
        <v>#N/A</v>
      </c>
      <c r="I343" s="618">
        <f>IF('III. INPUT-Baseline'!D35=0,0,(H343*'III. INPUT-Baseline'!$C$118*0.68*0.001)*(('III. INPUT-Baseline'!G35-'III. INPUT-Baseline'!H35)/'III. INPUT-Baseline'!E35))</f>
        <v>0</v>
      </c>
      <c r="J343" s="158">
        <f t="shared" ref="J343:J354" si="89">I343*gwp_ch4</f>
        <v>0</v>
      </c>
    </row>
    <row r="344" spans="2:17" x14ac:dyDescent="0.25">
      <c r="B344" s="556" t="str">
        <f>'III. INPUT-Baseline'!$B$36</f>
        <v>-</v>
      </c>
      <c r="C344" s="594" t="e">
        <f>$C$23</f>
        <v>#N/A</v>
      </c>
      <c r="D344" s="151">
        <f>MIN(0.95, MAX(0.104,EXP(15175*(('III. INPUT-Baseline'!$C$36+273)-303.16)/(1.987*('III. INPUT-Baseline'!$C$36+273)*303.16))))</f>
        <v>0.104</v>
      </c>
      <c r="E344" s="366">
        <f t="shared" si="88"/>
        <v>0</v>
      </c>
      <c r="F344" s="158" t="e">
        <f>(E344*'III. INPUT-Baseline'!J74*'III. INPUT-Baseline'!$J$166*C344*0.8)+G344</f>
        <v>#N/A</v>
      </c>
      <c r="G344" s="593">
        <f>IF('III. INPUT-Baseline'!$I36=TRUE,0,IF('III. INPUT-Baseline'!$E$143=B343,0,IF('III. INPUT-Baseline'!$F$143=B343,0,IF('III. INPUT-Baseline'!$G$143=B343,0,IF('III. INPUT-Baseline'!$C$143="Yes",0,(F343-H343))))))</f>
        <v>0</v>
      </c>
      <c r="H344" s="158" t="e">
        <f t="shared" ref="H344:H354" si="90">F344*D344</f>
        <v>#N/A</v>
      </c>
      <c r="I344" s="618">
        <f>IF('III. INPUT-Baseline'!D36=0,0,(H344*'III. INPUT-Baseline'!$C$118*0.68*0.001)*(('III. INPUT-Baseline'!G36-'III. INPUT-Baseline'!H36)/'III. INPUT-Baseline'!E36))</f>
        <v>0</v>
      </c>
      <c r="J344" s="158">
        <f t="shared" si="89"/>
        <v>0</v>
      </c>
    </row>
    <row r="345" spans="2:17" x14ac:dyDescent="0.25">
      <c r="B345" s="556" t="str">
        <f>'III. INPUT-Baseline'!$B$37</f>
        <v>-</v>
      </c>
      <c r="C345" s="594" t="e">
        <f>$C$24</f>
        <v>#N/A</v>
      </c>
      <c r="D345" s="151">
        <f>MIN(0.95, MAX(0.104,EXP(15175*(('III. INPUT-Baseline'!$C$37+273)-303.16)/(1.987*('III. INPUT-Baseline'!$C$37+273)*303.16))))</f>
        <v>0.104</v>
      </c>
      <c r="E345" s="366">
        <f t="shared" si="88"/>
        <v>0</v>
      </c>
      <c r="F345" s="158" t="e">
        <f>(E345*'III. INPUT-Baseline'!J75*'III. INPUT-Baseline'!$J$166*C345*0.8)+G345</f>
        <v>#N/A</v>
      </c>
      <c r="G345" s="593">
        <f>IF('III. INPUT-Baseline'!$I37=TRUE,0,IF('III. INPUT-Baseline'!$E$143=B344,0,IF('III. INPUT-Baseline'!$F$143=B344,0,IF('III. INPUT-Baseline'!$G$143=B344,0,IF('III. INPUT-Baseline'!$C$143="Yes",0,(F344-H344))))))</f>
        <v>0</v>
      </c>
      <c r="H345" s="158" t="e">
        <f t="shared" si="90"/>
        <v>#N/A</v>
      </c>
      <c r="I345" s="618">
        <f>IF('III. INPUT-Baseline'!D37=0,0,(H345*'III. INPUT-Baseline'!$C$118*0.68*0.001)*(('III. INPUT-Baseline'!G37-'III. INPUT-Baseline'!H37)/'III. INPUT-Baseline'!E37))</f>
        <v>0</v>
      </c>
      <c r="J345" s="158">
        <f t="shared" si="89"/>
        <v>0</v>
      </c>
    </row>
    <row r="346" spans="2:17" x14ac:dyDescent="0.25">
      <c r="B346" s="556" t="str">
        <f>'III. INPUT-Baseline'!$B$38</f>
        <v>-</v>
      </c>
      <c r="C346" s="594" t="e">
        <f>$C$25</f>
        <v>#N/A</v>
      </c>
      <c r="D346" s="151">
        <f>MIN(0.95, MAX(0.104,EXP(15175*(('III. INPUT-Baseline'!$C$38+273)-303.16)/(1.987*('III. INPUT-Baseline'!$C$38+273)*303.16))))</f>
        <v>0.104</v>
      </c>
      <c r="E346" s="366">
        <f t="shared" si="88"/>
        <v>0</v>
      </c>
      <c r="F346" s="158" t="e">
        <f>(E346*'III. INPUT-Baseline'!J76*'III. INPUT-Baseline'!$J$166*C346*0.8)+G346</f>
        <v>#N/A</v>
      </c>
      <c r="G346" s="593">
        <f>IF('III. INPUT-Baseline'!$I38=TRUE,0,IF('III. INPUT-Baseline'!$E$143=B345,0,IF('III. INPUT-Baseline'!$F$143=B345,0,IF('III. INPUT-Baseline'!$G$143=B345,0,IF('III. INPUT-Baseline'!$C$143="Yes",0,(F345-H345))))))</f>
        <v>0</v>
      </c>
      <c r="H346" s="158" t="e">
        <f t="shared" si="90"/>
        <v>#N/A</v>
      </c>
      <c r="I346" s="618">
        <f>IF('III. INPUT-Baseline'!D38=0,0,(H346*'III. INPUT-Baseline'!$C$118*0.68*0.001)*(('III. INPUT-Baseline'!G38-'III. INPUT-Baseline'!H38)/'III. INPUT-Baseline'!E38))</f>
        <v>0</v>
      </c>
      <c r="J346" s="158">
        <f t="shared" si="89"/>
        <v>0</v>
      </c>
    </row>
    <row r="347" spans="2:17" x14ac:dyDescent="0.25">
      <c r="B347" s="556" t="str">
        <f>'III. INPUT-Baseline'!$B$39</f>
        <v>-</v>
      </c>
      <c r="C347" s="594" t="e">
        <f>$C$26</f>
        <v>#N/A</v>
      </c>
      <c r="D347" s="151">
        <f>MIN(0.95, MAX(0.104,EXP(15175*(('III. INPUT-Baseline'!$C$39+273)-303.16)/(1.987*('III. INPUT-Baseline'!$C$39+273)*303.16))))</f>
        <v>0.104</v>
      </c>
      <c r="E347" s="366">
        <f t="shared" si="88"/>
        <v>0</v>
      </c>
      <c r="F347" s="158" t="e">
        <f>(E347*'III. INPUT-Baseline'!J77*'III. INPUT-Baseline'!$J$166*C347*0.8)+G347</f>
        <v>#N/A</v>
      </c>
      <c r="G347" s="593">
        <f>IF('III. INPUT-Baseline'!$I39=TRUE,0,IF('III. INPUT-Baseline'!$E$143=B346,0,IF('III. INPUT-Baseline'!$F$143=B346,0,IF('III. INPUT-Baseline'!$G$143=B346,0,IF('III. INPUT-Baseline'!$C$143="Yes",0,(F346-H346))))))</f>
        <v>0</v>
      </c>
      <c r="H347" s="158" t="e">
        <f t="shared" si="90"/>
        <v>#N/A</v>
      </c>
      <c r="I347" s="618">
        <f>IF('III. INPUT-Baseline'!D39=0,0,(H347*'III. INPUT-Baseline'!$C$118*0.68*0.001)*(('III. INPUT-Baseline'!G39-'III. INPUT-Baseline'!H39)/'III. INPUT-Baseline'!E39))</f>
        <v>0</v>
      </c>
      <c r="J347" s="158">
        <f t="shared" si="89"/>
        <v>0</v>
      </c>
    </row>
    <row r="348" spans="2:17" x14ac:dyDescent="0.25">
      <c r="B348" s="556" t="str">
        <f>'III. INPUT-Baseline'!$B$40</f>
        <v>-</v>
      </c>
      <c r="C348" s="594" t="e">
        <f>$C$27</f>
        <v>#N/A</v>
      </c>
      <c r="D348" s="151">
        <f>MIN(0.95, MAX(0.104,EXP(15175*(('III. INPUT-Baseline'!$C$40+273)-303.16)/(1.987*('III. INPUT-Baseline'!$C$40+273)*303.16))))</f>
        <v>0.104</v>
      </c>
      <c r="E348" s="366">
        <f t="shared" si="88"/>
        <v>0</v>
      </c>
      <c r="F348" s="158" t="e">
        <f>(E348*'III. INPUT-Baseline'!J78*'III. INPUT-Baseline'!$J$166*C348*0.8)+G348</f>
        <v>#N/A</v>
      </c>
      <c r="G348" s="593">
        <f>IF('III. INPUT-Baseline'!$I40=TRUE,0,IF('III. INPUT-Baseline'!$E$143=B347,0,IF('III. INPUT-Baseline'!$F$143=B347,0,IF('III. INPUT-Baseline'!$G$143=B347,0,IF('III. INPUT-Baseline'!$C$143="Yes",0,(F347-H347))))))</f>
        <v>0</v>
      </c>
      <c r="H348" s="158" t="e">
        <f t="shared" si="90"/>
        <v>#N/A</v>
      </c>
      <c r="I348" s="618">
        <f>IF('III. INPUT-Baseline'!D40=0,0,(H348*'III. INPUT-Baseline'!$C$118*0.68*0.001)*(('III. INPUT-Baseline'!G40-'III. INPUT-Baseline'!H40)/'III. INPUT-Baseline'!E40))</f>
        <v>0</v>
      </c>
      <c r="J348" s="158">
        <f t="shared" si="89"/>
        <v>0</v>
      </c>
    </row>
    <row r="349" spans="2:17" x14ac:dyDescent="0.25">
      <c r="B349" s="556" t="str">
        <f>'III. INPUT-Baseline'!$B$41</f>
        <v>-</v>
      </c>
      <c r="C349" s="594" t="e">
        <f>$C$28</f>
        <v>#N/A</v>
      </c>
      <c r="D349" s="151">
        <f>MIN(0.95, MAX(0.104,EXP(15175*(('III. INPUT-Baseline'!$C$41+273)-303.16)/(1.987*('III. INPUT-Baseline'!$C$41+273)*303.16))))</f>
        <v>0.104</v>
      </c>
      <c r="E349" s="366">
        <f t="shared" si="88"/>
        <v>0</v>
      </c>
      <c r="F349" s="158" t="e">
        <f>(E349*'III. INPUT-Baseline'!J79*'III. INPUT-Baseline'!$J$166*C349*0.8)+G349</f>
        <v>#N/A</v>
      </c>
      <c r="G349" s="593">
        <f>IF('III. INPUT-Baseline'!$I41=TRUE,0,IF('III. INPUT-Baseline'!$E$143=B348,0,IF('III. INPUT-Baseline'!$F$143=B348,0,IF('III. INPUT-Baseline'!$G$143=B348,0,IF('III. INPUT-Baseline'!$C$143="Yes",0,(F348-H348))))))</f>
        <v>0</v>
      </c>
      <c r="H349" s="158" t="e">
        <f t="shared" si="90"/>
        <v>#N/A</v>
      </c>
      <c r="I349" s="618">
        <f>IF('III. INPUT-Baseline'!D41=0,0,(H349*'III. INPUT-Baseline'!$C$118*0.68*0.001)*(('III. INPUT-Baseline'!G41-'III. INPUT-Baseline'!H41)/'III. INPUT-Baseline'!E41))</f>
        <v>0</v>
      </c>
      <c r="J349" s="158">
        <f t="shared" si="89"/>
        <v>0</v>
      </c>
    </row>
    <row r="350" spans="2:17" x14ac:dyDescent="0.25">
      <c r="B350" s="556" t="str">
        <f>'III. INPUT-Baseline'!$B$42</f>
        <v>-</v>
      </c>
      <c r="C350" s="594" t="e">
        <f>$C$29</f>
        <v>#N/A</v>
      </c>
      <c r="D350" s="151">
        <f>MIN(0.95, MAX(0.104,EXP(15175*(('III. INPUT-Baseline'!$C$42+273)-303.16)/(1.987*('III. INPUT-Baseline'!$C$42+273)*303.16))))</f>
        <v>0.104</v>
      </c>
      <c r="E350" s="366">
        <f t="shared" si="88"/>
        <v>0</v>
      </c>
      <c r="F350" s="158" t="e">
        <f>(E350*'III. INPUT-Baseline'!J80*'III. INPUT-Baseline'!$J$166*C350*0.8)+G350</f>
        <v>#N/A</v>
      </c>
      <c r="G350" s="593">
        <f>IF('III. INPUT-Baseline'!$I42=TRUE,0,IF('III. INPUT-Baseline'!$E$143=B349,0,IF('III. INPUT-Baseline'!$F$143=B349,0,IF('III. INPUT-Baseline'!$G$143=B349,0,IF('III. INPUT-Baseline'!$C$143="Yes",0,(F349-H349))))))</f>
        <v>0</v>
      </c>
      <c r="H350" s="158" t="e">
        <f t="shared" si="90"/>
        <v>#N/A</v>
      </c>
      <c r="I350" s="618">
        <f>IF('III. INPUT-Baseline'!D42=0,0,(H350*'III. INPUT-Baseline'!$C$118*0.68*0.001)*(('III. INPUT-Baseline'!G42-'III. INPUT-Baseline'!H42)/'III. INPUT-Baseline'!E42))</f>
        <v>0</v>
      </c>
      <c r="J350" s="158">
        <f t="shared" si="89"/>
        <v>0</v>
      </c>
    </row>
    <row r="351" spans="2:17" s="3" customFormat="1" ht="13" x14ac:dyDescent="0.3">
      <c r="B351" s="556" t="str">
        <f>'III. INPUT-Baseline'!$B$43</f>
        <v>-</v>
      </c>
      <c r="C351" s="594" t="e">
        <f>$C$30</f>
        <v>#N/A</v>
      </c>
      <c r="D351" s="151">
        <f>MIN(0.95, MAX(0.104,EXP(15175*(('III. INPUT-Baseline'!$C$43+273)-303.16)/(1.987*('III. INPUT-Baseline'!$C$43+273)*303.16))))</f>
        <v>0.104</v>
      </c>
      <c r="E351" s="366">
        <f t="shared" si="88"/>
        <v>0</v>
      </c>
      <c r="F351" s="158" t="e">
        <f>(E351*'III. INPUT-Baseline'!J81*'III. INPUT-Baseline'!$J$166*C351*0.8)+G351</f>
        <v>#N/A</v>
      </c>
      <c r="G351" s="593">
        <f>IF('III. INPUT-Baseline'!$I43=TRUE,0,IF('III. INPUT-Baseline'!$E$143=B350,0,IF('III. INPUT-Baseline'!$F$143=B350,0,IF('III. INPUT-Baseline'!$G$143=B350,0,IF('III. INPUT-Baseline'!$C$143="Yes",0,(F350-H350))))))</f>
        <v>0</v>
      </c>
      <c r="H351" s="158" t="e">
        <f t="shared" si="90"/>
        <v>#N/A</v>
      </c>
      <c r="I351" s="618">
        <f>IF('III. INPUT-Baseline'!D43=0,0,(H351*'III. INPUT-Baseline'!$C$118*0.68*0.001)*(('III. INPUT-Baseline'!G43-'III. INPUT-Baseline'!H43)/'III. INPUT-Baseline'!E43))</f>
        <v>0</v>
      </c>
      <c r="J351" s="158">
        <f t="shared" si="89"/>
        <v>0</v>
      </c>
      <c r="K351" s="153"/>
      <c r="L351" s="153"/>
      <c r="M351" s="154"/>
      <c r="N351" s="154"/>
      <c r="O351" s="4"/>
      <c r="Q351" s="153"/>
    </row>
    <row r="352" spans="2:17" x14ac:dyDescent="0.25">
      <c r="B352" s="556" t="str">
        <f>'III. INPUT-Baseline'!$B$44</f>
        <v>-</v>
      </c>
      <c r="C352" s="594" t="e">
        <f>$C$31</f>
        <v>#N/A</v>
      </c>
      <c r="D352" s="151">
        <f>MIN(0.95, MAX(0.104,EXP(15175*(('III. INPUT-Baseline'!$C$44+273)-303.16)/(1.987*('III. INPUT-Baseline'!$C$44+273)*303.16))))</f>
        <v>0.104</v>
      </c>
      <c r="E352" s="366">
        <f t="shared" si="88"/>
        <v>0</v>
      </c>
      <c r="F352" s="158" t="e">
        <f>(E352*'III. INPUT-Baseline'!J82*'III. INPUT-Baseline'!$J$166*C352*0.8)+G352</f>
        <v>#N/A</v>
      </c>
      <c r="G352" s="593">
        <f>IF('III. INPUT-Baseline'!$I44=TRUE,0,IF('III. INPUT-Baseline'!$E$143=B351,0,IF('III. INPUT-Baseline'!$F$143=B351,0,IF('III. INPUT-Baseline'!$G$143=B351,0,IF('III. INPUT-Baseline'!$C$143="Yes",0,(F351-H351))))))</f>
        <v>0</v>
      </c>
      <c r="H352" s="158" t="e">
        <f t="shared" si="90"/>
        <v>#N/A</v>
      </c>
      <c r="I352" s="618">
        <f>IF('III. INPUT-Baseline'!D44=0,0,(H352*'III. INPUT-Baseline'!$C$118*0.68*0.001)*(('III. INPUT-Baseline'!G44-'III. INPUT-Baseline'!H44)/'III. INPUT-Baseline'!E44))</f>
        <v>0</v>
      </c>
      <c r="J352" s="158">
        <f t="shared" si="89"/>
        <v>0</v>
      </c>
      <c r="K352" s="94"/>
      <c r="L352" s="94"/>
      <c r="M352" s="94"/>
      <c r="N352" s="156"/>
      <c r="O352" s="94"/>
      <c r="P352" s="156"/>
      <c r="Q352" s="156"/>
    </row>
    <row r="353" spans="2:15" s="3" customFormat="1" ht="13" x14ac:dyDescent="0.3">
      <c r="B353" s="556" t="str">
        <f>'III. INPUT-Baseline'!$B$45</f>
        <v>-</v>
      </c>
      <c r="C353" s="594" t="e">
        <f>$C$32</f>
        <v>#N/A</v>
      </c>
      <c r="D353" s="151">
        <f>MIN(0.95, MAX(0.104,EXP(15175*(('III. INPUT-Baseline'!$C$45+273)-303.16)/(1.987*('III. INPUT-Baseline'!$C$45+273)*303.16))))</f>
        <v>0.104</v>
      </c>
      <c r="E353" s="366">
        <f t="shared" si="88"/>
        <v>0</v>
      </c>
      <c r="F353" s="158" t="e">
        <f>(E353*'III. INPUT-Baseline'!J83*'III. INPUT-Baseline'!$J$166*C353*0.8)+G353</f>
        <v>#N/A</v>
      </c>
      <c r="G353" s="593">
        <f>IF('III. INPUT-Baseline'!$I45=TRUE,0,IF('III. INPUT-Baseline'!$E$143=B352,0,IF('III. INPUT-Baseline'!$F$143=B352,0,IF('III. INPUT-Baseline'!$G$143=B352,0,IF('III. INPUT-Baseline'!$C$143="Yes",0,(F352-H352))))))</f>
        <v>0</v>
      </c>
      <c r="H353" s="158" t="e">
        <f t="shared" si="90"/>
        <v>#N/A</v>
      </c>
      <c r="I353" s="618">
        <f>IF('III. INPUT-Baseline'!D45=0,0,(H353*'III. INPUT-Baseline'!$C$118*0.68*0.001)*(('III. INPUT-Baseline'!G45-'III. INPUT-Baseline'!H45)/'III. INPUT-Baseline'!E45))</f>
        <v>0</v>
      </c>
      <c r="J353" s="158">
        <f t="shared" si="89"/>
        <v>0</v>
      </c>
      <c r="K353" s="4"/>
      <c r="L353" s="4"/>
      <c r="M353" s="4"/>
      <c r="O353" s="4"/>
    </row>
    <row r="354" spans="2:15" ht="13" x14ac:dyDescent="0.3">
      <c r="B354" s="556" t="str">
        <f>'III. INPUT-Baseline'!$B$46</f>
        <v>-</v>
      </c>
      <c r="C354" s="594" t="e">
        <f>$C$33</f>
        <v>#N/A</v>
      </c>
      <c r="D354" s="151">
        <f>MIN(0.95, MAX(0.104,EXP(15175*(('III. INPUT-Baseline'!$C$46+273)-303.16)/(1.987*('III. INPUT-Baseline'!$C$46+273)*303.16))))</f>
        <v>0.104</v>
      </c>
      <c r="E354" s="366">
        <f t="shared" si="88"/>
        <v>0</v>
      </c>
      <c r="F354" s="158" t="e">
        <f>(E354*'III. INPUT-Baseline'!J84*'III. INPUT-Baseline'!$J$166*C354*0.8)+G354</f>
        <v>#N/A</v>
      </c>
      <c r="G354" s="593">
        <f>IF('III. INPUT-Baseline'!$I46=TRUE,0,IF('III. INPUT-Baseline'!$E$143=B353,0,IF('III. INPUT-Baseline'!$F$143=B353,0,IF('III. INPUT-Baseline'!$G$143=B353,0,IF('III. INPUT-Baseline'!$C$143="Yes",0,(F353-H353))))))</f>
        <v>0</v>
      </c>
      <c r="H354" s="158" t="e">
        <f t="shared" si="90"/>
        <v>#N/A</v>
      </c>
      <c r="I354" s="618">
        <f>IF('III. INPUT-Baseline'!D46=0,0,(H354*'III. INPUT-Baseline'!$C$118*0.68*0.001)*(('III. INPUT-Baseline'!G46-'III. INPUT-Baseline'!H46)/'III. INPUT-Baseline'!E46))</f>
        <v>0</v>
      </c>
      <c r="J354" s="158">
        <f t="shared" si="89"/>
        <v>0</v>
      </c>
      <c r="K354" s="4"/>
      <c r="L354" s="4"/>
      <c r="M354" s="4"/>
      <c r="O354" s="49"/>
    </row>
    <row r="355" spans="2:15" ht="13" x14ac:dyDescent="0.3">
      <c r="B355" s="609" t="str">
        <f>'III. INPUT-Baseline'!$B$47</f>
        <v>-</v>
      </c>
      <c r="C355" s="594" t="e">
        <f>$C$34</f>
        <v>#N/A</v>
      </c>
      <c r="D355" s="151">
        <f>MIN(0.95, MAX(0.104,EXP(15175*(('III. INPUT-Baseline'!$C$47+273)-303.16)/(1.987*('III. INPUT-Baseline'!$C$47+273)*303.16))))</f>
        <v>0.104</v>
      </c>
      <c r="E355" s="611">
        <f t="shared" si="88"/>
        <v>0</v>
      </c>
      <c r="F355" s="610" t="e">
        <f>(E355*'III. INPUT-Baseline'!J85*'III. INPUT-Baseline'!$J$166*C355*0.8)+G355</f>
        <v>#N/A</v>
      </c>
      <c r="G355" s="612">
        <f>IF('III. INPUT-Baseline'!$I47=TRUE,0,IF('III. INPUT-Baseline'!$E$143=B354,0,IF('III. INPUT-Baseline'!$F$143=B354,0,IF('III. INPUT-Baseline'!$G$143=B354,0,IF('III. INPUT-Baseline'!$C$143="Yes",0,(F354-H354))))))</f>
        <v>0</v>
      </c>
      <c r="H355" s="610" t="e">
        <f t="shared" ref="H355" si="91">F355*D355</f>
        <v>#N/A</v>
      </c>
      <c r="I355" s="618">
        <f>IF('III. INPUT-Baseline'!D47=0,0,(H355*'III. INPUT-Baseline'!$C$118*0.68*0.001)*(('III. INPUT-Baseline'!G47-'III. INPUT-Baseline'!H47)/'III. INPUT-Baseline'!E47))</f>
        <v>0</v>
      </c>
      <c r="J355" s="610">
        <f t="shared" ref="J355" si="92">I355*gwp_ch4</f>
        <v>0</v>
      </c>
      <c r="K355" s="4"/>
      <c r="L355" s="4"/>
      <c r="M355" s="4"/>
      <c r="O355" s="49"/>
    </row>
    <row r="356" spans="2:15" ht="13" x14ac:dyDescent="0.3">
      <c r="B356" s="596" t="s">
        <v>432</v>
      </c>
      <c r="C356" s="613"/>
      <c r="D356" s="598"/>
      <c r="E356" s="598"/>
      <c r="F356" s="614"/>
      <c r="G356" s="615"/>
      <c r="H356" s="605" t="e">
        <f>SUM(H343:H355)</f>
        <v>#N/A</v>
      </c>
      <c r="I356" s="605">
        <f t="shared" ref="I356:J356" si="93">SUM(I343:I355)</f>
        <v>0</v>
      </c>
      <c r="J356" s="605">
        <f t="shared" si="93"/>
        <v>0</v>
      </c>
      <c r="K356" s="4"/>
      <c r="L356" s="4"/>
      <c r="M356" s="4"/>
      <c r="O356" s="49"/>
    </row>
    <row r="357" spans="2:15" ht="13" x14ac:dyDescent="0.3">
      <c r="B357" s="3"/>
      <c r="C357" s="3"/>
      <c r="D357" s="60"/>
      <c r="E357" s="60"/>
      <c r="F357" s="625"/>
      <c r="G357" s="61"/>
      <c r="H357" s="61"/>
      <c r="I357" s="61"/>
      <c r="J357" s="61"/>
    </row>
    <row r="358" spans="2:15" s="3" customFormat="1" ht="13" x14ac:dyDescent="0.3">
      <c r="D358" s="60"/>
      <c r="E358" s="656" t="s">
        <v>241</v>
      </c>
      <c r="F358" s="675"/>
      <c r="G358" s="675"/>
      <c r="H358" s="675"/>
      <c r="I358" s="675"/>
      <c r="J358" s="676"/>
      <c r="K358" s="153"/>
      <c r="L358" s="153"/>
      <c r="M358" s="154"/>
    </row>
    <row r="359" spans="2:15" s="3" customFormat="1" ht="13" x14ac:dyDescent="0.3">
      <c r="D359" s="60"/>
      <c r="E359" s="677"/>
      <c r="F359" s="678"/>
      <c r="G359" s="678"/>
      <c r="H359" s="678"/>
      <c r="I359" s="678"/>
      <c r="J359" s="679"/>
      <c r="K359" s="153"/>
      <c r="L359" s="153"/>
      <c r="M359" s="154"/>
    </row>
    <row r="360" spans="2:15" s="3" customFormat="1" ht="13" x14ac:dyDescent="0.3">
      <c r="D360" s="60"/>
      <c r="E360" s="680"/>
      <c r="F360" s="681"/>
      <c r="G360" s="681"/>
      <c r="H360" s="681"/>
      <c r="I360" s="681"/>
      <c r="J360" s="682"/>
      <c r="K360" s="153"/>
      <c r="L360" s="153"/>
      <c r="M360" s="154"/>
    </row>
    <row r="361" spans="2:15" s="3" customFormat="1" ht="26" x14ac:dyDescent="0.3">
      <c r="B361" s="585">
        <f>'III. INPUT-Baseline'!B62</f>
        <v>0</v>
      </c>
      <c r="C361" s="585" t="str">
        <f>'III. INPUT-Baseline'!B125</f>
        <v>Uncovered anaerobic lagoon</v>
      </c>
      <c r="D361" s="149"/>
      <c r="E361" s="60"/>
      <c r="F361" s="60"/>
      <c r="G361" s="60"/>
      <c r="H361" s="60"/>
      <c r="I361" s="60"/>
      <c r="J361" s="60"/>
      <c r="K361" s="153"/>
      <c r="L361" s="153"/>
      <c r="M361" s="154"/>
    </row>
    <row r="362" spans="2:15" s="3" customFormat="1" ht="15" x14ac:dyDescent="0.4">
      <c r="B362" s="546" t="s">
        <v>423</v>
      </c>
      <c r="C362" s="586">
        <f>'III. INPUT-Baseline'!D105</f>
        <v>0</v>
      </c>
      <c r="D362" s="39"/>
      <c r="E362" s="61"/>
      <c r="F362" s="60"/>
      <c r="G362" s="60"/>
      <c r="H362" s="60"/>
      <c r="I362" s="60"/>
      <c r="J362" s="60"/>
      <c r="K362" s="153"/>
      <c r="L362" s="153"/>
      <c r="M362" s="154"/>
    </row>
    <row r="363" spans="2:15" s="3" customFormat="1" ht="13" x14ac:dyDescent="0.3">
      <c r="B363" s="616"/>
      <c r="C363" s="617"/>
      <c r="D363" s="39"/>
      <c r="E363" s="61"/>
      <c r="F363" s="60"/>
      <c r="G363" s="60"/>
      <c r="H363" s="60"/>
      <c r="I363" s="60"/>
      <c r="J363" s="60"/>
      <c r="K363" s="153"/>
      <c r="L363" s="153"/>
      <c r="M363" s="154"/>
    </row>
    <row r="364" spans="2:15" ht="29" x14ac:dyDescent="0.4">
      <c r="B364" s="136" t="s">
        <v>246</v>
      </c>
      <c r="C364" s="136" t="s">
        <v>424</v>
      </c>
      <c r="D364" s="606" t="s">
        <v>425</v>
      </c>
      <c r="E364" s="590" t="s">
        <v>426</v>
      </c>
      <c r="F364" s="591" t="s">
        <v>427</v>
      </c>
      <c r="G364" s="590" t="s">
        <v>428</v>
      </c>
      <c r="H364" s="591" t="s">
        <v>429</v>
      </c>
      <c r="I364" s="591" t="s">
        <v>430</v>
      </c>
      <c r="J364" s="591" t="s">
        <v>431</v>
      </c>
      <c r="K364" s="34"/>
      <c r="L364" s="34"/>
      <c r="M364" s="34"/>
    </row>
    <row r="365" spans="2:15" x14ac:dyDescent="0.25">
      <c r="B365" s="556" t="str">
        <f>'III. INPUT-Baseline'!$B$35</f>
        <v>-</v>
      </c>
      <c r="C365" s="594" t="e">
        <f>$C$22</f>
        <v>#N/A</v>
      </c>
      <c r="D365" s="151">
        <f>MIN(0.95, MAX(0.104,EXP(15175*(('III. INPUT-Baseline'!$C$35+273)-303.16)/(1.987*('III. INPUT-Baseline'!$C$35+273)*303.16))))</f>
        <v>0.104</v>
      </c>
      <c r="E365" s="366">
        <f t="shared" ref="E365:E377" si="94">$C$362</f>
        <v>0</v>
      </c>
      <c r="F365" s="158" t="e">
        <f>(E365*'III. INPUT-Baseline'!K73*'III. INPUT-Baseline'!$K$165*C365*0.8)+G365</f>
        <v>#N/A</v>
      </c>
      <c r="G365" s="592">
        <v>0</v>
      </c>
      <c r="H365" s="158" t="e">
        <f>F365*D365</f>
        <v>#N/A</v>
      </c>
      <c r="I365" s="618">
        <f>IF('III. INPUT-Baseline'!D35=0,0,(H365*'III. INPUT-Baseline'!$C$119*0.68*0.001)*(('III. INPUT-Baseline'!G35-'III. INPUT-Baseline'!H35)/'III. INPUT-Baseline'!E35))</f>
        <v>0</v>
      </c>
      <c r="J365" s="158">
        <f t="shared" ref="J365:J376" si="95">I365*gwp_ch4</f>
        <v>0</v>
      </c>
    </row>
    <row r="366" spans="2:15" x14ac:dyDescent="0.25">
      <c r="B366" s="556" t="str">
        <f>'III. INPUT-Baseline'!$B$36</f>
        <v>-</v>
      </c>
      <c r="C366" s="594" t="e">
        <f>$C$23</f>
        <v>#N/A</v>
      </c>
      <c r="D366" s="151">
        <f>MIN(0.95, MAX(0.104,EXP(15175*(('III. INPUT-Baseline'!$C$36+273)-303.16)/(1.987*('III. INPUT-Baseline'!$C$36+273)*303.16))))</f>
        <v>0.104</v>
      </c>
      <c r="E366" s="366">
        <f t="shared" si="94"/>
        <v>0</v>
      </c>
      <c r="F366" s="158" t="e">
        <f>(E366*'III. INPUT-Baseline'!K74*'III. INPUT-Baseline'!$K$165*C366*0.8)+G366</f>
        <v>#N/A</v>
      </c>
      <c r="G366" s="593" t="e">
        <f>IF('III. INPUT-Baseline'!$I$36=TRUE,0,IF('III. INPUT-Baseline'!$E$142=B365,0,IF('III. INPUT-Baseline'!$F$142=B365,0,IF('III. INPUT-Baseline'!$G$142=B365,0,IF('III. INPUT-Baseline'!$C$142="Yes",0,(F365-H365))))))</f>
        <v>#N/A</v>
      </c>
      <c r="H366" s="158" t="e">
        <f t="shared" ref="H366:H376" si="96">F366*D366</f>
        <v>#N/A</v>
      </c>
      <c r="I366" s="618">
        <f>IF('III. INPUT-Baseline'!D36=0,0,(H366*'III. INPUT-Baseline'!$C$119*0.68*0.001)*(('III. INPUT-Baseline'!G36-'III. INPUT-Baseline'!H36)/'III. INPUT-Baseline'!E36))</f>
        <v>0</v>
      </c>
      <c r="J366" s="158">
        <f t="shared" si="95"/>
        <v>0</v>
      </c>
    </row>
    <row r="367" spans="2:15" x14ac:dyDescent="0.25">
      <c r="B367" s="556" t="str">
        <f>'III. INPUT-Baseline'!$B$37</f>
        <v>-</v>
      </c>
      <c r="C367" s="594" t="e">
        <f>$C$24</f>
        <v>#N/A</v>
      </c>
      <c r="D367" s="151">
        <f>MIN(0.95, MAX(0.104,EXP(15175*(('III. INPUT-Baseline'!$C$37+273)-303.16)/(1.987*('III. INPUT-Baseline'!$C$37+273)*303.16))))</f>
        <v>0.104</v>
      </c>
      <c r="E367" s="366">
        <f t="shared" si="94"/>
        <v>0</v>
      </c>
      <c r="F367" s="158" t="e">
        <f>(E367*'III. INPUT-Baseline'!K75*'III. INPUT-Baseline'!$K$165*C367*0.8)+G367</f>
        <v>#N/A</v>
      </c>
      <c r="G367" s="593" t="e">
        <f>IF('III. INPUT-Baseline'!$I$37=TRUE,0,IF('III. INPUT-Baseline'!$E$142=B366,0,IF('III. INPUT-Baseline'!$F$142=B366,0,IF('III. INPUT-Baseline'!$G$142=B366,0,IF('III. INPUT-Baseline'!$C$142="Yes",0,(F366-H366))))))</f>
        <v>#N/A</v>
      </c>
      <c r="H367" s="158" t="e">
        <f t="shared" si="96"/>
        <v>#N/A</v>
      </c>
      <c r="I367" s="618">
        <f>IF('III. INPUT-Baseline'!D37=0,0,(H367*'III. INPUT-Baseline'!$C$119*0.68*0.001)*(('III. INPUT-Baseline'!G37-'III. INPUT-Baseline'!H37)/'III. INPUT-Baseline'!E37))</f>
        <v>0</v>
      </c>
      <c r="J367" s="158">
        <f t="shared" si="95"/>
        <v>0</v>
      </c>
    </row>
    <row r="368" spans="2:15" x14ac:dyDescent="0.25">
      <c r="B368" s="556" t="str">
        <f>'III. INPUT-Baseline'!$B$38</f>
        <v>-</v>
      </c>
      <c r="C368" s="594" t="e">
        <f>$C$25</f>
        <v>#N/A</v>
      </c>
      <c r="D368" s="151">
        <f>MIN(0.95, MAX(0.104,EXP(15175*(('III. INPUT-Baseline'!$C$38+273)-303.16)/(1.987*('III. INPUT-Baseline'!$C$38+273)*303.16))))</f>
        <v>0.104</v>
      </c>
      <c r="E368" s="366">
        <f t="shared" si="94"/>
        <v>0</v>
      </c>
      <c r="F368" s="158" t="e">
        <f>(E368*'III. INPUT-Baseline'!K76*'III. INPUT-Baseline'!$K$165*C368*0.8)+G368</f>
        <v>#N/A</v>
      </c>
      <c r="G368" s="593" t="e">
        <f>IF('III. INPUT-Baseline'!$I$38=TRUE,0,IF('III. INPUT-Baseline'!$E$142=B367,0,IF('III. INPUT-Baseline'!$F$142=B367,0,IF('III. INPUT-Baseline'!$G$142=B367,0,IF('III. INPUT-Baseline'!$C$142="Yes",0,(F367-H367))))))</f>
        <v>#N/A</v>
      </c>
      <c r="H368" s="158" t="e">
        <f t="shared" si="96"/>
        <v>#N/A</v>
      </c>
      <c r="I368" s="618">
        <f>IF('III. INPUT-Baseline'!D38=0,0,(H368*'III. INPUT-Baseline'!$C$119*0.68*0.001)*(('III. INPUT-Baseline'!G38-'III. INPUT-Baseline'!H38)/'III. INPUT-Baseline'!E38))</f>
        <v>0</v>
      </c>
      <c r="J368" s="158">
        <f t="shared" si="95"/>
        <v>0</v>
      </c>
    </row>
    <row r="369" spans="2:17" x14ac:dyDescent="0.25">
      <c r="B369" s="556" t="str">
        <f>'III. INPUT-Baseline'!$B$39</f>
        <v>-</v>
      </c>
      <c r="C369" s="594" t="e">
        <f>$C$26</f>
        <v>#N/A</v>
      </c>
      <c r="D369" s="151">
        <f>MIN(0.95, MAX(0.104,EXP(15175*(('III. INPUT-Baseline'!$C$39+273)-303.16)/(1.987*('III. INPUT-Baseline'!$C$39+273)*303.16))))</f>
        <v>0.104</v>
      </c>
      <c r="E369" s="366">
        <f t="shared" si="94"/>
        <v>0</v>
      </c>
      <c r="F369" s="158" t="e">
        <f>(E369*'III. INPUT-Baseline'!K77*'III. INPUT-Baseline'!$K$165*C369*0.8)+G369</f>
        <v>#N/A</v>
      </c>
      <c r="G369" s="593" t="e">
        <f>IF('III. INPUT-Baseline'!$I$39=TRUE,0,IF('III. INPUT-Baseline'!$E$142=B368,0,IF('III. INPUT-Baseline'!$F$142=B368,0,IF('III. INPUT-Baseline'!$G$142=B368,0,IF('III. INPUT-Baseline'!$C$142="Yes",0,(F368-H368))))))</f>
        <v>#N/A</v>
      </c>
      <c r="H369" s="158" t="e">
        <f t="shared" si="96"/>
        <v>#N/A</v>
      </c>
      <c r="I369" s="618">
        <f>IF('III. INPUT-Baseline'!D39=0,0,(H369*'III. INPUT-Baseline'!$C$119*0.68*0.001)*(('III. INPUT-Baseline'!G39-'III. INPUT-Baseline'!H39)/'III. INPUT-Baseline'!E39))</f>
        <v>0</v>
      </c>
      <c r="J369" s="158">
        <f t="shared" si="95"/>
        <v>0</v>
      </c>
    </row>
    <row r="370" spans="2:17" x14ac:dyDescent="0.25">
      <c r="B370" s="556" t="str">
        <f>'III. INPUT-Baseline'!$B$40</f>
        <v>-</v>
      </c>
      <c r="C370" s="594" t="e">
        <f>$C$27</f>
        <v>#N/A</v>
      </c>
      <c r="D370" s="151">
        <f>MIN(0.95, MAX(0.104,EXP(15175*(('III. INPUT-Baseline'!$C$40+273)-303.16)/(1.987*('III. INPUT-Baseline'!$C$40+273)*303.16))))</f>
        <v>0.104</v>
      </c>
      <c r="E370" s="366">
        <f t="shared" si="94"/>
        <v>0</v>
      </c>
      <c r="F370" s="158" t="e">
        <f>(E370*'III. INPUT-Baseline'!K78*'III. INPUT-Baseline'!$K$165*C370*0.8)+G370</f>
        <v>#N/A</v>
      </c>
      <c r="G370" s="593" t="e">
        <f>IF('III. INPUT-Baseline'!$I$40=TRUE,0,IF('III. INPUT-Baseline'!$E$142=B369,0,IF('III. INPUT-Baseline'!$F$142=B369,0,IF('III. INPUT-Baseline'!$G$142=B369,0,IF('III. INPUT-Baseline'!$C$142="Yes",0,(F369-H369))))))</f>
        <v>#N/A</v>
      </c>
      <c r="H370" s="158" t="e">
        <f t="shared" si="96"/>
        <v>#N/A</v>
      </c>
      <c r="I370" s="618">
        <f>IF('III. INPUT-Baseline'!D40=0,0,(H370*'III. INPUT-Baseline'!$C$119*0.68*0.001)*(('III. INPUT-Baseline'!G40-'III. INPUT-Baseline'!H40)/'III. INPUT-Baseline'!E40))</f>
        <v>0</v>
      </c>
      <c r="J370" s="158">
        <f t="shared" si="95"/>
        <v>0</v>
      </c>
    </row>
    <row r="371" spans="2:17" x14ac:dyDescent="0.25">
      <c r="B371" s="556" t="str">
        <f>'III. INPUT-Baseline'!$B$41</f>
        <v>-</v>
      </c>
      <c r="C371" s="594" t="e">
        <f>$C$28</f>
        <v>#N/A</v>
      </c>
      <c r="D371" s="151">
        <f>MIN(0.95, MAX(0.104,EXP(15175*(('III. INPUT-Baseline'!$C$41+273)-303.16)/(1.987*('III. INPUT-Baseline'!$C$41+273)*303.16))))</f>
        <v>0.104</v>
      </c>
      <c r="E371" s="366">
        <f t="shared" si="94"/>
        <v>0</v>
      </c>
      <c r="F371" s="158" t="e">
        <f>(E371*'III. INPUT-Baseline'!K79*'III. INPUT-Baseline'!$K$165*C371*0.8)+G371</f>
        <v>#N/A</v>
      </c>
      <c r="G371" s="593" t="e">
        <f>IF('III. INPUT-Baseline'!$I$41=TRUE,0,IF('III. INPUT-Baseline'!$E$142=B370,0,IF('III. INPUT-Baseline'!$F$142=B370,0,IF('III. INPUT-Baseline'!$G$142=B370,0,IF('III. INPUT-Baseline'!$C$142="Yes",0,(F370-H370))))))</f>
        <v>#N/A</v>
      </c>
      <c r="H371" s="158" t="e">
        <f t="shared" si="96"/>
        <v>#N/A</v>
      </c>
      <c r="I371" s="618">
        <f>IF('III. INPUT-Baseline'!D41=0,0,(H371*'III. INPUT-Baseline'!$C$119*0.68*0.001)*(('III. INPUT-Baseline'!G41-'III. INPUT-Baseline'!H41)/'III. INPUT-Baseline'!E41))</f>
        <v>0</v>
      </c>
      <c r="J371" s="158">
        <f t="shared" si="95"/>
        <v>0</v>
      </c>
    </row>
    <row r="372" spans="2:17" x14ac:dyDescent="0.25">
      <c r="B372" s="556" t="str">
        <f>'III. INPUT-Baseline'!$B$42</f>
        <v>-</v>
      </c>
      <c r="C372" s="594" t="e">
        <f>$C$29</f>
        <v>#N/A</v>
      </c>
      <c r="D372" s="151">
        <f>MIN(0.95, MAX(0.104,EXP(15175*(('III. INPUT-Baseline'!$C$42+273)-303.16)/(1.987*('III. INPUT-Baseline'!$C$42+273)*303.16))))</f>
        <v>0.104</v>
      </c>
      <c r="E372" s="366">
        <f t="shared" si="94"/>
        <v>0</v>
      </c>
      <c r="F372" s="158" t="e">
        <f>(E372*'III. INPUT-Baseline'!K80*'III. INPUT-Baseline'!$K$165*C372*0.8)+G372</f>
        <v>#N/A</v>
      </c>
      <c r="G372" s="593" t="e">
        <f>IF('III. INPUT-Baseline'!$I$42=TRUE,0,IF('III. INPUT-Baseline'!$E$142=B371,0,IF('III. INPUT-Baseline'!$F$142=B371,0,IF('III. INPUT-Baseline'!$G$142=B371,0,IF('III. INPUT-Baseline'!$C$142="Yes",0,(F371-H371))))))</f>
        <v>#N/A</v>
      </c>
      <c r="H372" s="158" t="e">
        <f t="shared" si="96"/>
        <v>#N/A</v>
      </c>
      <c r="I372" s="618">
        <f>IF('III. INPUT-Baseline'!D42=0,0,(H372*'III. INPUT-Baseline'!$C$119*0.68*0.001)*(('III. INPUT-Baseline'!G42-'III. INPUT-Baseline'!H42)/'III. INPUT-Baseline'!E42))</f>
        <v>0</v>
      </c>
      <c r="J372" s="158">
        <f t="shared" si="95"/>
        <v>0</v>
      </c>
    </row>
    <row r="373" spans="2:17" s="3" customFormat="1" ht="13" x14ac:dyDescent="0.3">
      <c r="B373" s="556" t="str">
        <f>'III. INPUT-Baseline'!$B$43</f>
        <v>-</v>
      </c>
      <c r="C373" s="594" t="e">
        <f>$C$30</f>
        <v>#N/A</v>
      </c>
      <c r="D373" s="151">
        <f>MIN(0.95, MAX(0.104,EXP(15175*(('III. INPUT-Baseline'!$C$43+273)-303.16)/(1.987*('III. INPUT-Baseline'!$C$43+273)*303.16))))</f>
        <v>0.104</v>
      </c>
      <c r="E373" s="366">
        <f t="shared" si="94"/>
        <v>0</v>
      </c>
      <c r="F373" s="158" t="e">
        <f>(E373*'III. INPUT-Baseline'!K81*'III. INPUT-Baseline'!$K$165*C373*0.8)+G373</f>
        <v>#N/A</v>
      </c>
      <c r="G373" s="593" t="e">
        <f>IF('III. INPUT-Baseline'!$I$43=TRUE,0,IF('III. INPUT-Baseline'!$E$142=B372,0,IF('III. INPUT-Baseline'!$F$142=B372,0,IF('III. INPUT-Baseline'!$G$142=B372,0,IF('III. INPUT-Baseline'!$C$142="Yes",0,(F372-H372))))))</f>
        <v>#N/A</v>
      </c>
      <c r="H373" s="158" t="e">
        <f t="shared" si="96"/>
        <v>#N/A</v>
      </c>
      <c r="I373" s="618">
        <f>IF('III. INPUT-Baseline'!D43=0,0,(H373*'III. INPUT-Baseline'!$C$119*0.68*0.001)*(('III. INPUT-Baseline'!G43-'III. INPUT-Baseline'!H43)/'III. INPUT-Baseline'!E43))</f>
        <v>0</v>
      </c>
      <c r="J373" s="158">
        <f t="shared" si="95"/>
        <v>0</v>
      </c>
      <c r="K373" s="153"/>
      <c r="L373" s="153"/>
      <c r="M373" s="154"/>
      <c r="N373" s="154"/>
      <c r="O373" s="4"/>
      <c r="Q373" s="153"/>
    </row>
    <row r="374" spans="2:17" x14ac:dyDescent="0.25">
      <c r="B374" s="556" t="str">
        <f>'III. INPUT-Baseline'!$B$44</f>
        <v>-</v>
      </c>
      <c r="C374" s="594" t="e">
        <f>$C$31</f>
        <v>#N/A</v>
      </c>
      <c r="D374" s="151">
        <f>MIN(0.95, MAX(0.104,EXP(15175*(('III. INPUT-Baseline'!$C$44+273)-303.16)/(1.987*('III. INPUT-Baseline'!$C$44+273)*303.16))))</f>
        <v>0.104</v>
      </c>
      <c r="E374" s="366">
        <f t="shared" si="94"/>
        <v>0</v>
      </c>
      <c r="F374" s="158" t="e">
        <f>(E374*'III. INPUT-Baseline'!K82*'III. INPUT-Baseline'!$K$165*C374*0.8)+G374</f>
        <v>#N/A</v>
      </c>
      <c r="G374" s="593" t="e">
        <f>IF('III. INPUT-Baseline'!$I$44=TRUE,0,IF('III. INPUT-Baseline'!$E$142=B373,0,IF('III. INPUT-Baseline'!$F$142=B373,0,IF('III. INPUT-Baseline'!$G$142=B373,0,IF('III. INPUT-Baseline'!$C$142="Yes",0,(F373-H373))))))</f>
        <v>#N/A</v>
      </c>
      <c r="H374" s="158" t="e">
        <f t="shared" si="96"/>
        <v>#N/A</v>
      </c>
      <c r="I374" s="618">
        <f>IF('III. INPUT-Baseline'!D44=0,0,(H374*'III. INPUT-Baseline'!$C$119*0.68*0.001)*(('III. INPUT-Baseline'!G44-'III. INPUT-Baseline'!H44)/'III. INPUT-Baseline'!E44))</f>
        <v>0</v>
      </c>
      <c r="J374" s="158">
        <f t="shared" si="95"/>
        <v>0</v>
      </c>
      <c r="K374" s="94"/>
      <c r="L374" s="94"/>
      <c r="M374" s="94"/>
      <c r="N374" s="156"/>
      <c r="O374" s="94"/>
      <c r="P374" s="156"/>
      <c r="Q374" s="156"/>
    </row>
    <row r="375" spans="2:17" s="3" customFormat="1" ht="13" x14ac:dyDescent="0.3">
      <c r="B375" s="556" t="str">
        <f>'III. INPUT-Baseline'!$B$45</f>
        <v>-</v>
      </c>
      <c r="C375" s="594" t="e">
        <f>$C$32</f>
        <v>#N/A</v>
      </c>
      <c r="D375" s="151">
        <f>MIN(0.95, MAX(0.104,EXP(15175*(('III. INPUT-Baseline'!$C$45+273)-303.16)/(1.987*('III. INPUT-Baseline'!$C$45+273)*303.16))))</f>
        <v>0.104</v>
      </c>
      <c r="E375" s="366">
        <f t="shared" si="94"/>
        <v>0</v>
      </c>
      <c r="F375" s="158" t="e">
        <f>(E375*'III. INPUT-Baseline'!K83*'III. INPUT-Baseline'!$K$165*C375*0.8)+G375</f>
        <v>#N/A</v>
      </c>
      <c r="G375" s="593" t="e">
        <f>IF('III. INPUT-Baseline'!$I$45=TRUE,0,IF('III. INPUT-Baseline'!$E$142=B374,0,IF('III. INPUT-Baseline'!$F$142=B374,0,IF('III. INPUT-Baseline'!$G$142=B374,0,IF('III. INPUT-Baseline'!$C$142="Yes",0,(F374-H374))))))</f>
        <v>#N/A</v>
      </c>
      <c r="H375" s="158" t="e">
        <f t="shared" si="96"/>
        <v>#N/A</v>
      </c>
      <c r="I375" s="618">
        <f>IF('III. INPUT-Baseline'!D45=0,0,(H375*'III. INPUT-Baseline'!$C$119*0.68*0.001)*(('III. INPUT-Baseline'!G45-'III. INPUT-Baseline'!H45)/'III. INPUT-Baseline'!E45))</f>
        <v>0</v>
      </c>
      <c r="J375" s="158">
        <f t="shared" si="95"/>
        <v>0</v>
      </c>
      <c r="K375" s="4"/>
      <c r="L375" s="4"/>
      <c r="M375" s="4"/>
      <c r="O375" s="4"/>
    </row>
    <row r="376" spans="2:17" ht="13" x14ac:dyDescent="0.3">
      <c r="B376" s="556" t="str">
        <f>'III. INPUT-Baseline'!$B$46</f>
        <v>-</v>
      </c>
      <c r="C376" s="594" t="e">
        <f>$C$33</f>
        <v>#N/A</v>
      </c>
      <c r="D376" s="151">
        <f>MIN(0.95, MAX(0.104,EXP(15175*(('III. INPUT-Baseline'!$C$46+273)-303.16)/(1.987*('III. INPUT-Baseline'!$C$46+273)*303.16))))</f>
        <v>0.104</v>
      </c>
      <c r="E376" s="366">
        <f t="shared" si="94"/>
        <v>0</v>
      </c>
      <c r="F376" s="158" t="e">
        <f>(E376*'III. INPUT-Baseline'!K84*'III. INPUT-Baseline'!$K$165*C376*0.8)+G376</f>
        <v>#N/A</v>
      </c>
      <c r="G376" s="593" t="e">
        <f>IF('III. INPUT-Baseline'!$I$46=TRUE,0,IF('III. INPUT-Baseline'!$E$142=B375,0,IF('III. INPUT-Baseline'!$F$142=B375,0,IF('III. INPUT-Baseline'!$G$142=B375,0,IF('III. INPUT-Baseline'!$C$142="Yes",0,(F375-H375))))))</f>
        <v>#N/A</v>
      </c>
      <c r="H376" s="158" t="e">
        <f t="shared" si="96"/>
        <v>#N/A</v>
      </c>
      <c r="I376" s="618">
        <f>IF('III. INPUT-Baseline'!D46=0,0,(H376*'III. INPUT-Baseline'!$C$119*0.68*0.001)*(('III. INPUT-Baseline'!G46-'III. INPUT-Baseline'!H46)/'III. INPUT-Baseline'!E46))</f>
        <v>0</v>
      </c>
      <c r="J376" s="158">
        <f t="shared" si="95"/>
        <v>0</v>
      </c>
      <c r="K376" s="4"/>
      <c r="L376" s="4"/>
      <c r="M376" s="4"/>
      <c r="O376" s="49"/>
    </row>
    <row r="377" spans="2:17" ht="13" x14ac:dyDescent="0.3">
      <c r="B377" s="609" t="str">
        <f>'III. INPUT-Baseline'!$B$47</f>
        <v>-</v>
      </c>
      <c r="C377" s="594" t="e">
        <f>$C$34</f>
        <v>#N/A</v>
      </c>
      <c r="D377" s="151">
        <f>MIN(0.95, MAX(0.104,EXP(15175*(('III. INPUT-Baseline'!$C$47+273)-303.16)/(1.987*('III. INPUT-Baseline'!$C$47+273)*303.16))))</f>
        <v>0.104</v>
      </c>
      <c r="E377" s="611">
        <f t="shared" si="94"/>
        <v>0</v>
      </c>
      <c r="F377" s="610" t="e">
        <f>(E377*'III. INPUT-Baseline'!K85*'III. INPUT-Baseline'!$K$165*C377*0.8)+G377</f>
        <v>#N/A</v>
      </c>
      <c r="G377" s="612" t="e">
        <f>IF('III. INPUT-Baseline'!$I$46=TRUE,0,IF('III. INPUT-Baseline'!$E$142=B376,0,IF('III. INPUT-Baseline'!$F$142=B376,0,IF('III. INPUT-Baseline'!$G$142=B376,0,IF('III. INPUT-Baseline'!$C$142="Yes",0,(F376-H376))))))</f>
        <v>#N/A</v>
      </c>
      <c r="H377" s="610" t="e">
        <f t="shared" ref="H377" si="97">F377*D377</f>
        <v>#N/A</v>
      </c>
      <c r="I377" s="618">
        <f>IF('III. INPUT-Baseline'!D47=0,0,(H377*'III. INPUT-Baseline'!$C$119*0.68*0.001)*(('III. INPUT-Baseline'!G47-'III. INPUT-Baseline'!H47)/'III. INPUT-Baseline'!E47))</f>
        <v>0</v>
      </c>
      <c r="J377" s="610">
        <f t="shared" ref="J377" si="98">I377*gwp_ch4</f>
        <v>0</v>
      </c>
      <c r="K377" s="4"/>
      <c r="L377" s="4"/>
      <c r="M377" s="4"/>
      <c r="O377" s="49"/>
    </row>
    <row r="378" spans="2:17" ht="13" x14ac:dyDescent="0.3">
      <c r="B378" s="596" t="s">
        <v>432</v>
      </c>
      <c r="C378" s="613"/>
      <c r="D378" s="598"/>
      <c r="E378" s="598"/>
      <c r="F378" s="614"/>
      <c r="G378" s="615"/>
      <c r="H378" s="605" t="e">
        <f>SUM(H365:H377)</f>
        <v>#N/A</v>
      </c>
      <c r="I378" s="605">
        <f t="shared" ref="I378:J378" si="99">SUM(I365:I377)</f>
        <v>0</v>
      </c>
      <c r="J378" s="605">
        <f t="shared" si="99"/>
        <v>0</v>
      </c>
      <c r="K378" s="4"/>
      <c r="L378" s="4"/>
      <c r="M378" s="4"/>
      <c r="O378" s="49"/>
    </row>
    <row r="379" spans="2:17" s="3" customFormat="1" ht="13" x14ac:dyDescent="0.3">
      <c r="D379" s="60"/>
      <c r="E379" s="60"/>
      <c r="F379" s="61"/>
      <c r="G379" s="61"/>
      <c r="H379" s="61"/>
      <c r="I379" s="61"/>
      <c r="J379" s="61"/>
      <c r="K379" s="153"/>
      <c r="L379" s="153"/>
      <c r="M379" s="154"/>
    </row>
    <row r="380" spans="2:17" s="3" customFormat="1" ht="13" x14ac:dyDescent="0.3">
      <c r="D380" s="60"/>
      <c r="E380" s="656" t="s">
        <v>241</v>
      </c>
      <c r="F380" s="675"/>
      <c r="G380" s="675"/>
      <c r="H380" s="675"/>
      <c r="I380" s="675"/>
      <c r="J380" s="676"/>
      <c r="K380" s="153"/>
      <c r="L380" s="153"/>
      <c r="M380" s="154"/>
    </row>
    <row r="381" spans="2:17" s="3" customFormat="1" ht="13" x14ac:dyDescent="0.3">
      <c r="D381" s="60"/>
      <c r="E381" s="677"/>
      <c r="F381" s="678"/>
      <c r="G381" s="678"/>
      <c r="H381" s="678"/>
      <c r="I381" s="678"/>
      <c r="J381" s="679"/>
      <c r="K381" s="153"/>
      <c r="L381" s="153"/>
      <c r="M381" s="154"/>
    </row>
    <row r="382" spans="2:17" s="3" customFormat="1" ht="13" x14ac:dyDescent="0.3">
      <c r="B382" s="585">
        <f>B361</f>
        <v>0</v>
      </c>
      <c r="C382" s="585">
        <f>'III. INPUT-Baseline'!B126</f>
        <v>0</v>
      </c>
      <c r="D382" s="149"/>
      <c r="E382" s="680"/>
      <c r="F382" s="681"/>
      <c r="G382" s="681"/>
      <c r="H382" s="681"/>
      <c r="I382" s="681"/>
      <c r="J382" s="682"/>
      <c r="K382" s="153"/>
      <c r="L382" s="153"/>
      <c r="M382" s="154"/>
    </row>
    <row r="383" spans="2:17" s="3" customFormat="1" ht="15" x14ac:dyDescent="0.4">
      <c r="B383" s="546" t="s">
        <v>423</v>
      </c>
      <c r="C383" s="586">
        <f>C362</f>
        <v>0</v>
      </c>
      <c r="D383" s="39"/>
      <c r="E383" s="61"/>
      <c r="F383" s="60"/>
      <c r="G383" s="60"/>
      <c r="H383" s="60"/>
      <c r="I383" s="60"/>
      <c r="J383" s="60"/>
      <c r="K383" s="153"/>
      <c r="L383" s="153"/>
      <c r="M383" s="154"/>
    </row>
    <row r="384" spans="2:17" s="3" customFormat="1" ht="13" x14ac:dyDescent="0.3">
      <c r="B384" s="616"/>
      <c r="C384" s="617"/>
      <c r="D384" s="39"/>
      <c r="E384" s="61"/>
      <c r="F384" s="60"/>
      <c r="G384" s="60"/>
      <c r="H384" s="60"/>
      <c r="I384" s="60"/>
      <c r="J384" s="60"/>
      <c r="K384" s="153"/>
      <c r="L384" s="153"/>
      <c r="M384" s="154"/>
    </row>
    <row r="385" spans="2:17" ht="29" x14ac:dyDescent="0.4">
      <c r="B385" s="136" t="s">
        <v>246</v>
      </c>
      <c r="C385" s="136" t="s">
        <v>424</v>
      </c>
      <c r="D385" s="606" t="s">
        <v>425</v>
      </c>
      <c r="E385" s="590" t="s">
        <v>426</v>
      </c>
      <c r="F385" s="591" t="s">
        <v>427</v>
      </c>
      <c r="G385" s="590" t="s">
        <v>428</v>
      </c>
      <c r="H385" s="591" t="s">
        <v>429</v>
      </c>
      <c r="I385" s="591" t="s">
        <v>430</v>
      </c>
      <c r="J385" s="591" t="s">
        <v>431</v>
      </c>
      <c r="K385" s="34"/>
      <c r="L385" s="34"/>
      <c r="M385" s="34"/>
    </row>
    <row r="386" spans="2:17" x14ac:dyDescent="0.25">
      <c r="B386" s="556" t="str">
        <f>'III. INPUT-Baseline'!$B$35</f>
        <v>-</v>
      </c>
      <c r="C386" s="594" t="e">
        <f>$C$22</f>
        <v>#N/A</v>
      </c>
      <c r="D386" s="151">
        <f>MIN(0.95, MAX(0.104,EXP(15175*(('III. INPUT-Baseline'!$C$35+273)-303.16)/(1.987*('III. INPUT-Baseline'!$C$35+273)*303.16))))</f>
        <v>0.104</v>
      </c>
      <c r="E386" s="366">
        <f t="shared" ref="E386:E398" si="100">$C$383</f>
        <v>0</v>
      </c>
      <c r="F386" s="158" t="e">
        <f>(E386*'III. INPUT-Baseline'!K73*'III. INPUT-Baseline'!$K$166*C386*0.8)+G386</f>
        <v>#N/A</v>
      </c>
      <c r="G386" s="592">
        <v>0</v>
      </c>
      <c r="H386" s="158" t="e">
        <f>F386*D386</f>
        <v>#N/A</v>
      </c>
      <c r="I386" s="618">
        <f>IF('III. INPUT-Baseline'!D35=0,0,(H386*'III. INPUT-Baseline'!$C$119*0.68*0.001)*(('III. INPUT-Baseline'!G35-'III. INPUT-Baseline'!H35)/'III. INPUT-Baseline'!E35))</f>
        <v>0</v>
      </c>
      <c r="J386" s="158">
        <f t="shared" ref="J386:J397" si="101">I386*gwp_ch4</f>
        <v>0</v>
      </c>
    </row>
    <row r="387" spans="2:17" x14ac:dyDescent="0.25">
      <c r="B387" s="556" t="str">
        <f>'III. INPUT-Baseline'!$B$36</f>
        <v>-</v>
      </c>
      <c r="C387" s="594" t="e">
        <f>$C$23</f>
        <v>#N/A</v>
      </c>
      <c r="D387" s="151">
        <f>MIN(0.95, MAX(0.104,EXP(15175*(('III. INPUT-Baseline'!$C$36+273)-303.16)/(1.987*('III. INPUT-Baseline'!$C$36+273)*303.16))))</f>
        <v>0.104</v>
      </c>
      <c r="E387" s="366">
        <f t="shared" si="100"/>
        <v>0</v>
      </c>
      <c r="F387" s="158" t="e">
        <f>(E387*'III. INPUT-Baseline'!K74*'III. INPUT-Baseline'!$K$166*C387*0.8)+G387</f>
        <v>#N/A</v>
      </c>
      <c r="G387" s="593">
        <f>IF('III. INPUT-Baseline'!$I36=TRUE,0,IF('III. INPUT-Baseline'!$E$143=B386,0,IF('III. INPUT-Baseline'!$F$143=B386,0,IF('III. INPUT-Baseline'!$G$143=B386,0,IF('III. INPUT-Baseline'!$C$143="Yes",0,(F386-H386))))))</f>
        <v>0</v>
      </c>
      <c r="H387" s="158" t="e">
        <f t="shared" ref="H387:H397" si="102">F387*D387</f>
        <v>#N/A</v>
      </c>
      <c r="I387" s="618">
        <f>IF('III. INPUT-Baseline'!D36=0,0,(H387*'III. INPUT-Baseline'!$C$119*0.68*0.001)*(('III. INPUT-Baseline'!G36-'III. INPUT-Baseline'!H36)/'III. INPUT-Baseline'!E36))</f>
        <v>0</v>
      </c>
      <c r="J387" s="158">
        <f t="shared" si="101"/>
        <v>0</v>
      </c>
    </row>
    <row r="388" spans="2:17" x14ac:dyDescent="0.25">
      <c r="B388" s="556" t="str">
        <f>'III. INPUT-Baseline'!$B$37</f>
        <v>-</v>
      </c>
      <c r="C388" s="594" t="e">
        <f>$C$24</f>
        <v>#N/A</v>
      </c>
      <c r="D388" s="151">
        <f>MIN(0.95, MAX(0.104,EXP(15175*(('III. INPUT-Baseline'!$C$37+273)-303.16)/(1.987*('III. INPUT-Baseline'!$C$37+273)*303.16))))</f>
        <v>0.104</v>
      </c>
      <c r="E388" s="366">
        <f t="shared" si="100"/>
        <v>0</v>
      </c>
      <c r="F388" s="158" t="e">
        <f>(E388*'III. INPUT-Baseline'!K75*'III. INPUT-Baseline'!$K$166*C388*0.8)+G388</f>
        <v>#N/A</v>
      </c>
      <c r="G388" s="593">
        <f>IF('III. INPUT-Baseline'!$I37=TRUE,0,IF('III. INPUT-Baseline'!$E$143=B387,0,IF('III. INPUT-Baseline'!$F$143=B387,0,IF('III. INPUT-Baseline'!$G$143=B387,0,IF('III. INPUT-Baseline'!$C$143="Yes",0,(F387-H387))))))</f>
        <v>0</v>
      </c>
      <c r="H388" s="158" t="e">
        <f t="shared" si="102"/>
        <v>#N/A</v>
      </c>
      <c r="I388" s="618">
        <f>IF('III. INPUT-Baseline'!D37=0,0,(H388*'III. INPUT-Baseline'!$C$119*0.68*0.001)*(('III. INPUT-Baseline'!G37-'III. INPUT-Baseline'!H37)/'III. INPUT-Baseline'!E37))</f>
        <v>0</v>
      </c>
      <c r="J388" s="158">
        <f t="shared" si="101"/>
        <v>0</v>
      </c>
    </row>
    <row r="389" spans="2:17" x14ac:dyDescent="0.25">
      <c r="B389" s="556" t="str">
        <f>'III. INPUT-Baseline'!$B$38</f>
        <v>-</v>
      </c>
      <c r="C389" s="594" t="e">
        <f>$C$25</f>
        <v>#N/A</v>
      </c>
      <c r="D389" s="151">
        <f>MIN(0.95, MAX(0.104,EXP(15175*(('III. INPUT-Baseline'!$C$38+273)-303.16)/(1.987*('III. INPUT-Baseline'!$C$38+273)*303.16))))</f>
        <v>0.104</v>
      </c>
      <c r="E389" s="366">
        <f t="shared" si="100"/>
        <v>0</v>
      </c>
      <c r="F389" s="158" t="e">
        <f>(E389*'III. INPUT-Baseline'!K76*'III. INPUT-Baseline'!$K$166*C389*0.8)+G389</f>
        <v>#N/A</v>
      </c>
      <c r="G389" s="593">
        <f>IF('III. INPUT-Baseline'!$I38=TRUE,0,IF('III. INPUT-Baseline'!$E$143=B388,0,IF('III. INPUT-Baseline'!$F$143=B388,0,IF('III. INPUT-Baseline'!$G$143=B388,0,IF('III. INPUT-Baseline'!$C$143="Yes",0,(F388-H388))))))</f>
        <v>0</v>
      </c>
      <c r="H389" s="158" t="e">
        <f t="shared" si="102"/>
        <v>#N/A</v>
      </c>
      <c r="I389" s="618">
        <f>IF('III. INPUT-Baseline'!D38=0,0,(H389*'III. INPUT-Baseline'!$C$119*0.68*0.001)*(('III. INPUT-Baseline'!G38-'III. INPUT-Baseline'!H38)/'III. INPUT-Baseline'!E38))</f>
        <v>0</v>
      </c>
      <c r="J389" s="158">
        <f t="shared" si="101"/>
        <v>0</v>
      </c>
    </row>
    <row r="390" spans="2:17" x14ac:dyDescent="0.25">
      <c r="B390" s="556" t="str">
        <f>'III. INPUT-Baseline'!$B$39</f>
        <v>-</v>
      </c>
      <c r="C390" s="594" t="e">
        <f>$C$26</f>
        <v>#N/A</v>
      </c>
      <c r="D390" s="151">
        <f>MIN(0.95, MAX(0.104,EXP(15175*(('III. INPUT-Baseline'!$C$39+273)-303.16)/(1.987*('III. INPUT-Baseline'!$C$39+273)*303.16))))</f>
        <v>0.104</v>
      </c>
      <c r="E390" s="366">
        <f t="shared" si="100"/>
        <v>0</v>
      </c>
      <c r="F390" s="158" t="e">
        <f>(E390*'III. INPUT-Baseline'!K77*'III. INPUT-Baseline'!$K$166*C390*0.8)+G390</f>
        <v>#N/A</v>
      </c>
      <c r="G390" s="593">
        <f>IF('III. INPUT-Baseline'!$I39=TRUE,0,IF('III. INPUT-Baseline'!$E$143=B389,0,IF('III. INPUT-Baseline'!$F$143=B389,0,IF('III. INPUT-Baseline'!$G$143=B389,0,IF('III. INPUT-Baseline'!$C$143="Yes",0,(F389-H389))))))</f>
        <v>0</v>
      </c>
      <c r="H390" s="158" t="e">
        <f t="shared" si="102"/>
        <v>#N/A</v>
      </c>
      <c r="I390" s="618">
        <f>IF('III. INPUT-Baseline'!D39=0,0,(H390*'III. INPUT-Baseline'!$C$119*0.68*0.001)*(('III. INPUT-Baseline'!G39-'III. INPUT-Baseline'!H39)/'III. INPUT-Baseline'!E39))</f>
        <v>0</v>
      </c>
      <c r="J390" s="158">
        <f t="shared" si="101"/>
        <v>0</v>
      </c>
    </row>
    <row r="391" spans="2:17" x14ac:dyDescent="0.25">
      <c r="B391" s="556" t="str">
        <f>'III. INPUT-Baseline'!$B$40</f>
        <v>-</v>
      </c>
      <c r="C391" s="594" t="e">
        <f>$C$27</f>
        <v>#N/A</v>
      </c>
      <c r="D391" s="151">
        <f>MIN(0.95, MAX(0.104,EXP(15175*(('III. INPUT-Baseline'!$C$40+273)-303.16)/(1.987*('III. INPUT-Baseline'!$C$40+273)*303.16))))</f>
        <v>0.104</v>
      </c>
      <c r="E391" s="366">
        <f t="shared" si="100"/>
        <v>0</v>
      </c>
      <c r="F391" s="158" t="e">
        <f>(E391*'III. INPUT-Baseline'!K78*'III. INPUT-Baseline'!$K$166*C391*0.8)+G391</f>
        <v>#N/A</v>
      </c>
      <c r="G391" s="593">
        <f>IF('III. INPUT-Baseline'!$I40=TRUE,0,IF('III. INPUT-Baseline'!$E$143=B390,0,IF('III. INPUT-Baseline'!$F$143=B390,0,IF('III. INPUT-Baseline'!$G$143=B390,0,IF('III. INPUT-Baseline'!$C$143="Yes",0,(F390-H390))))))</f>
        <v>0</v>
      </c>
      <c r="H391" s="158" t="e">
        <f t="shared" si="102"/>
        <v>#N/A</v>
      </c>
      <c r="I391" s="618">
        <f>IF('III. INPUT-Baseline'!D40=0,0,(H391*'III. INPUT-Baseline'!$C$119*0.68*0.001)*(('III. INPUT-Baseline'!G40-'III. INPUT-Baseline'!H40)/'III. INPUT-Baseline'!E40))</f>
        <v>0</v>
      </c>
      <c r="J391" s="158">
        <f t="shared" si="101"/>
        <v>0</v>
      </c>
    </row>
    <row r="392" spans="2:17" x14ac:dyDescent="0.25">
      <c r="B392" s="556" t="str">
        <f>'III. INPUT-Baseline'!$B$41</f>
        <v>-</v>
      </c>
      <c r="C392" s="594" t="e">
        <f>$C$28</f>
        <v>#N/A</v>
      </c>
      <c r="D392" s="151">
        <f>MIN(0.95, MAX(0.104,EXP(15175*(('III. INPUT-Baseline'!$C$41+273)-303.16)/(1.987*('III. INPUT-Baseline'!$C$41+273)*303.16))))</f>
        <v>0.104</v>
      </c>
      <c r="E392" s="366">
        <f t="shared" si="100"/>
        <v>0</v>
      </c>
      <c r="F392" s="158" t="e">
        <f>(E392*'III. INPUT-Baseline'!K79*'III. INPUT-Baseline'!$K$166*C392*0.8)+G392</f>
        <v>#N/A</v>
      </c>
      <c r="G392" s="593">
        <f>IF('III. INPUT-Baseline'!$I41=TRUE,0,IF('III. INPUT-Baseline'!$E$143=B391,0,IF('III. INPUT-Baseline'!$F$143=B391,0,IF('III. INPUT-Baseline'!$G$143=B391,0,IF('III. INPUT-Baseline'!$C$143="Yes",0,(F391-H391))))))</f>
        <v>0</v>
      </c>
      <c r="H392" s="158" t="e">
        <f t="shared" si="102"/>
        <v>#N/A</v>
      </c>
      <c r="I392" s="618">
        <f>IF('III. INPUT-Baseline'!D41=0,0,(H392*'III. INPUT-Baseline'!$C$119*0.68*0.001)*(('III. INPUT-Baseline'!G41-'III. INPUT-Baseline'!H41)/'III. INPUT-Baseline'!E41))</f>
        <v>0</v>
      </c>
      <c r="J392" s="158">
        <f t="shared" si="101"/>
        <v>0</v>
      </c>
    </row>
    <row r="393" spans="2:17" x14ac:dyDescent="0.25">
      <c r="B393" s="556" t="str">
        <f>'III. INPUT-Baseline'!$B$42</f>
        <v>-</v>
      </c>
      <c r="C393" s="594" t="e">
        <f>$C$29</f>
        <v>#N/A</v>
      </c>
      <c r="D393" s="151">
        <f>MIN(0.95, MAX(0.104,EXP(15175*(('III. INPUT-Baseline'!$C$42+273)-303.16)/(1.987*('III. INPUT-Baseline'!$C$42+273)*303.16))))</f>
        <v>0.104</v>
      </c>
      <c r="E393" s="366">
        <f t="shared" si="100"/>
        <v>0</v>
      </c>
      <c r="F393" s="158" t="e">
        <f>(E393*'III. INPUT-Baseline'!K80*'III. INPUT-Baseline'!$K$166*C393*0.8)+G393</f>
        <v>#N/A</v>
      </c>
      <c r="G393" s="593">
        <f>IF('III. INPUT-Baseline'!$I42=TRUE,0,IF('III. INPUT-Baseline'!$E$143=B392,0,IF('III. INPUT-Baseline'!$F$143=B392,0,IF('III. INPUT-Baseline'!$G$143=B392,0,IF('III. INPUT-Baseline'!$C$143="Yes",0,(F392-H392))))))</f>
        <v>0</v>
      </c>
      <c r="H393" s="158" t="e">
        <f t="shared" si="102"/>
        <v>#N/A</v>
      </c>
      <c r="I393" s="618">
        <f>IF('III. INPUT-Baseline'!D42=0,0,(H393*'III. INPUT-Baseline'!$C$119*0.68*0.001)*(('III. INPUT-Baseline'!G42-'III. INPUT-Baseline'!H42)/'III. INPUT-Baseline'!E42))</f>
        <v>0</v>
      </c>
      <c r="J393" s="158">
        <f t="shared" si="101"/>
        <v>0</v>
      </c>
    </row>
    <row r="394" spans="2:17" s="3" customFormat="1" ht="13" x14ac:dyDescent="0.3">
      <c r="B394" s="556" t="str">
        <f>'III. INPUT-Baseline'!$B$43</f>
        <v>-</v>
      </c>
      <c r="C394" s="594" t="e">
        <f>$C$30</f>
        <v>#N/A</v>
      </c>
      <c r="D394" s="151">
        <f>MIN(0.95, MAX(0.104,EXP(15175*(('III. INPUT-Baseline'!$C$43+273)-303.16)/(1.987*('III. INPUT-Baseline'!$C$43+273)*303.16))))</f>
        <v>0.104</v>
      </c>
      <c r="E394" s="366">
        <f t="shared" si="100"/>
        <v>0</v>
      </c>
      <c r="F394" s="158" t="e">
        <f>(E394*'III. INPUT-Baseline'!K81*'III. INPUT-Baseline'!$K$166*C394*0.8)+G394</f>
        <v>#N/A</v>
      </c>
      <c r="G394" s="593">
        <f>IF('III. INPUT-Baseline'!$I43=TRUE,0,IF('III. INPUT-Baseline'!$E$143=B393,0,IF('III. INPUT-Baseline'!$F$143=B393,0,IF('III. INPUT-Baseline'!$G$143=B393,0,IF('III. INPUT-Baseline'!$C$143="Yes",0,(F393-H393))))))</f>
        <v>0</v>
      </c>
      <c r="H394" s="158" t="e">
        <f t="shared" si="102"/>
        <v>#N/A</v>
      </c>
      <c r="I394" s="618">
        <f>IF('III. INPUT-Baseline'!D43=0,0,(H394*'III. INPUT-Baseline'!$C$119*0.68*0.001)*(('III. INPUT-Baseline'!G43-'III. INPUT-Baseline'!H43)/'III. INPUT-Baseline'!E43))</f>
        <v>0</v>
      </c>
      <c r="J394" s="158">
        <f t="shared" si="101"/>
        <v>0</v>
      </c>
      <c r="K394" s="153"/>
      <c r="L394" s="153"/>
      <c r="M394" s="154"/>
      <c r="N394" s="154"/>
      <c r="O394" s="4"/>
      <c r="Q394" s="153"/>
    </row>
    <row r="395" spans="2:17" x14ac:dyDescent="0.25">
      <c r="B395" s="556" t="str">
        <f>'III. INPUT-Baseline'!$B$44</f>
        <v>-</v>
      </c>
      <c r="C395" s="594" t="e">
        <f>$C$31</f>
        <v>#N/A</v>
      </c>
      <c r="D395" s="151">
        <f>MIN(0.95, MAX(0.104,EXP(15175*(('III. INPUT-Baseline'!$C$44+273)-303.16)/(1.987*('III. INPUT-Baseline'!$C$44+273)*303.16))))</f>
        <v>0.104</v>
      </c>
      <c r="E395" s="366">
        <f t="shared" si="100"/>
        <v>0</v>
      </c>
      <c r="F395" s="158" t="e">
        <f>(E395*'III. INPUT-Baseline'!K82*'III. INPUT-Baseline'!$K$166*C395*0.8)+G395</f>
        <v>#N/A</v>
      </c>
      <c r="G395" s="593">
        <f>IF('III. INPUT-Baseline'!$I44=TRUE,0,IF('III. INPUT-Baseline'!$E$143=B394,0,IF('III. INPUT-Baseline'!$F$143=B394,0,IF('III. INPUT-Baseline'!$G$143=B394,0,IF('III. INPUT-Baseline'!$C$143="Yes",0,(F394-H394))))))</f>
        <v>0</v>
      </c>
      <c r="H395" s="158" t="e">
        <f t="shared" si="102"/>
        <v>#N/A</v>
      </c>
      <c r="I395" s="618">
        <f>IF('III. INPUT-Baseline'!D44=0,0,(H395*'III. INPUT-Baseline'!$C$119*0.68*0.001)*(('III. INPUT-Baseline'!G44-'III. INPUT-Baseline'!H44)/'III. INPUT-Baseline'!E44))</f>
        <v>0</v>
      </c>
      <c r="J395" s="158">
        <f t="shared" si="101"/>
        <v>0</v>
      </c>
      <c r="K395" s="94"/>
      <c r="L395" s="94"/>
      <c r="M395" s="94"/>
      <c r="N395" s="156"/>
      <c r="O395" s="94"/>
      <c r="P395" s="156"/>
      <c r="Q395" s="156"/>
    </row>
    <row r="396" spans="2:17" s="3" customFormat="1" ht="13" x14ac:dyDescent="0.3">
      <c r="B396" s="556" t="str">
        <f>'III. INPUT-Baseline'!$B$45</f>
        <v>-</v>
      </c>
      <c r="C396" s="594" t="e">
        <f>$C$32</f>
        <v>#N/A</v>
      </c>
      <c r="D396" s="151">
        <f>MIN(0.95, MAX(0.104,EXP(15175*(('III. INPUT-Baseline'!$C$45+273)-303.16)/(1.987*('III. INPUT-Baseline'!$C$45+273)*303.16))))</f>
        <v>0.104</v>
      </c>
      <c r="E396" s="366">
        <f t="shared" si="100"/>
        <v>0</v>
      </c>
      <c r="F396" s="158" t="e">
        <f>(E396*'III. INPUT-Baseline'!K83*'III. INPUT-Baseline'!$K$166*C396*0.8)+G396</f>
        <v>#N/A</v>
      </c>
      <c r="G396" s="593">
        <f>IF('III. INPUT-Baseline'!$I45=TRUE,0,IF('III. INPUT-Baseline'!$E$143=B395,0,IF('III. INPUT-Baseline'!$F$143=B395,0,IF('III. INPUT-Baseline'!$G$143=B395,0,IF('III. INPUT-Baseline'!$C$143="Yes",0,(F395-H395))))))</f>
        <v>0</v>
      </c>
      <c r="H396" s="158" t="e">
        <f t="shared" si="102"/>
        <v>#N/A</v>
      </c>
      <c r="I396" s="618">
        <f>IF('III. INPUT-Baseline'!D45=0,0,(H396*'III. INPUT-Baseline'!$C$119*0.68*0.001)*(('III. INPUT-Baseline'!G45-'III. INPUT-Baseline'!H45)/'III. INPUT-Baseline'!E45))</f>
        <v>0</v>
      </c>
      <c r="J396" s="158">
        <f t="shared" si="101"/>
        <v>0</v>
      </c>
      <c r="K396" s="4"/>
      <c r="L396" s="4"/>
      <c r="M396" s="4"/>
      <c r="O396" s="4"/>
    </row>
    <row r="397" spans="2:17" ht="13" x14ac:dyDescent="0.3">
      <c r="B397" s="556" t="str">
        <f>'III. INPUT-Baseline'!$B$46</f>
        <v>-</v>
      </c>
      <c r="C397" s="594" t="e">
        <f>$C$33</f>
        <v>#N/A</v>
      </c>
      <c r="D397" s="151">
        <f>MIN(0.95, MAX(0.104,EXP(15175*(('III. INPUT-Baseline'!$C$46+273)-303.16)/(1.987*('III. INPUT-Baseline'!$C$46+273)*303.16))))</f>
        <v>0.104</v>
      </c>
      <c r="E397" s="366">
        <f t="shared" si="100"/>
        <v>0</v>
      </c>
      <c r="F397" s="158" t="e">
        <f>(E397*'III. INPUT-Baseline'!K84*'III. INPUT-Baseline'!$K$166*C397*0.8)+G397</f>
        <v>#N/A</v>
      </c>
      <c r="G397" s="593">
        <f>IF('III. INPUT-Baseline'!$I46=TRUE,0,IF('III. INPUT-Baseline'!$E$143=B396,0,IF('III. INPUT-Baseline'!$F$143=B396,0,IF('III. INPUT-Baseline'!$G$143=B396,0,IF('III. INPUT-Baseline'!$C$143="Yes",0,(F396-H396))))))</f>
        <v>0</v>
      </c>
      <c r="H397" s="158" t="e">
        <f t="shared" si="102"/>
        <v>#N/A</v>
      </c>
      <c r="I397" s="618">
        <f>IF('III. INPUT-Baseline'!D46=0,0,(H397*'III. INPUT-Baseline'!$C$119*0.68*0.001)*(('III. INPUT-Baseline'!G46-'III. INPUT-Baseline'!H46)/'III. INPUT-Baseline'!E46))</f>
        <v>0</v>
      </c>
      <c r="J397" s="158">
        <f t="shared" si="101"/>
        <v>0</v>
      </c>
      <c r="K397" s="4"/>
      <c r="L397" s="4"/>
      <c r="M397" s="4"/>
      <c r="O397" s="49"/>
    </row>
    <row r="398" spans="2:17" ht="13" x14ac:dyDescent="0.3">
      <c r="B398" s="609" t="str">
        <f>'III. INPUT-Baseline'!$B$47</f>
        <v>-</v>
      </c>
      <c r="C398" s="594" t="e">
        <f>$C$34</f>
        <v>#N/A</v>
      </c>
      <c r="D398" s="151">
        <f>MIN(0.95, MAX(0.104,EXP(15175*(('III. INPUT-Baseline'!$C$47+273)-303.16)/(1.987*('III. INPUT-Baseline'!$C$47+273)*303.16))))</f>
        <v>0.104</v>
      </c>
      <c r="E398" s="611">
        <f t="shared" si="100"/>
        <v>0</v>
      </c>
      <c r="F398" s="610" t="e">
        <f>(E398*'III. INPUT-Baseline'!K85*'III. INPUT-Baseline'!$K$166*C398*0.8)+G398</f>
        <v>#N/A</v>
      </c>
      <c r="G398" s="612">
        <f>IF('III. INPUT-Baseline'!$I47=TRUE,0,IF('III. INPUT-Baseline'!$E$143=B397,0,IF('III. INPUT-Baseline'!$F$143=B397,0,IF('III. INPUT-Baseline'!$G$143=B397,0,IF('III. INPUT-Baseline'!$C$143="Yes",0,(F397-H397))))))</f>
        <v>0</v>
      </c>
      <c r="H398" s="610" t="e">
        <f t="shared" ref="H398" si="103">F398*D398</f>
        <v>#N/A</v>
      </c>
      <c r="I398" s="618">
        <f>IF('III. INPUT-Baseline'!D47=0,0,(H398*'III. INPUT-Baseline'!$C$119*0.68*0.001)*(('III. INPUT-Baseline'!G47-'III. INPUT-Baseline'!H47)/'III. INPUT-Baseline'!E47))</f>
        <v>0</v>
      </c>
      <c r="J398" s="610">
        <f t="shared" ref="J398" si="104">I398*gwp_ch4</f>
        <v>0</v>
      </c>
      <c r="K398" s="4"/>
      <c r="L398" s="4"/>
      <c r="M398" s="4"/>
      <c r="O398" s="49"/>
    </row>
    <row r="399" spans="2:17" ht="13" x14ac:dyDescent="0.3">
      <c r="B399" s="596" t="s">
        <v>432</v>
      </c>
      <c r="C399" s="613"/>
      <c r="D399" s="598"/>
      <c r="E399" s="598"/>
      <c r="F399" s="614"/>
      <c r="G399" s="615"/>
      <c r="H399" s="605" t="e">
        <f>SUM(H386:H398)</f>
        <v>#N/A</v>
      </c>
      <c r="I399" s="605">
        <f t="shared" ref="I399:J399" si="105">SUM(I386:I398)</f>
        <v>0</v>
      </c>
      <c r="J399" s="605">
        <f t="shared" si="105"/>
        <v>0</v>
      </c>
      <c r="K399" s="4"/>
      <c r="L399" s="4"/>
      <c r="M399" s="4"/>
      <c r="O399" s="49"/>
    </row>
    <row r="400" spans="2:17" s="3" customFormat="1" ht="13" x14ac:dyDescent="0.3">
      <c r="D400" s="60"/>
      <c r="E400" s="60"/>
      <c r="F400" s="61"/>
      <c r="G400" s="61"/>
      <c r="H400" s="61"/>
      <c r="I400" s="61"/>
      <c r="J400" s="61"/>
      <c r="K400" s="153"/>
      <c r="L400" s="153"/>
      <c r="M400" s="154"/>
    </row>
    <row r="401" spans="2:17" s="3" customFormat="1" ht="13" x14ac:dyDescent="0.3">
      <c r="D401" s="60"/>
      <c r="E401" s="60"/>
      <c r="F401" s="61"/>
      <c r="G401" s="61"/>
      <c r="H401" s="61"/>
      <c r="I401" s="61"/>
      <c r="J401" s="61"/>
      <c r="K401" s="153"/>
      <c r="L401" s="153"/>
      <c r="M401" s="154"/>
    </row>
    <row r="402" spans="2:17" s="3" customFormat="1" ht="13" x14ac:dyDescent="0.3">
      <c r="D402" s="60"/>
      <c r="E402" s="656" t="s">
        <v>241</v>
      </c>
      <c r="F402" s="675"/>
      <c r="G402" s="675"/>
      <c r="H402" s="675"/>
      <c r="I402" s="675"/>
      <c r="J402" s="676"/>
      <c r="K402" s="153"/>
      <c r="L402" s="153"/>
      <c r="M402" s="154"/>
    </row>
    <row r="403" spans="2:17" s="3" customFormat="1" ht="13" x14ac:dyDescent="0.3">
      <c r="D403" s="60"/>
      <c r="E403" s="677"/>
      <c r="F403" s="678"/>
      <c r="G403" s="678"/>
      <c r="H403" s="678"/>
      <c r="I403" s="678"/>
      <c r="J403" s="679"/>
      <c r="K403" s="153"/>
      <c r="L403" s="153"/>
      <c r="M403" s="154"/>
    </row>
    <row r="404" spans="2:17" s="3" customFormat="1" ht="26" x14ac:dyDescent="0.3">
      <c r="B404" s="585">
        <f>'III. INPUT-Baseline'!B63</f>
        <v>0</v>
      </c>
      <c r="C404" s="585" t="str">
        <f>'III. INPUT-Baseline'!B125</f>
        <v>Uncovered anaerobic lagoon</v>
      </c>
      <c r="D404" s="149"/>
      <c r="E404" s="680"/>
      <c r="F404" s="681"/>
      <c r="G404" s="681"/>
      <c r="H404" s="681"/>
      <c r="I404" s="681"/>
      <c r="J404" s="682"/>
      <c r="K404" s="153"/>
      <c r="L404" s="153"/>
      <c r="M404" s="154"/>
    </row>
    <row r="405" spans="2:17" s="3" customFormat="1" ht="15" x14ac:dyDescent="0.4">
      <c r="B405" s="546" t="s">
        <v>423</v>
      </c>
      <c r="C405" s="586">
        <f>'III. INPUT-Baseline'!D106</f>
        <v>0</v>
      </c>
      <c r="D405" s="39"/>
      <c r="E405" s="61"/>
      <c r="F405" s="60"/>
      <c r="G405" s="60"/>
      <c r="H405" s="60"/>
      <c r="I405" s="60"/>
      <c r="J405" s="60"/>
      <c r="K405" s="153"/>
      <c r="L405" s="153"/>
      <c r="M405" s="154"/>
    </row>
    <row r="406" spans="2:17" s="3" customFormat="1" ht="13" x14ac:dyDescent="0.3">
      <c r="B406" s="616"/>
      <c r="C406" s="617"/>
      <c r="D406" s="39"/>
      <c r="E406" s="61"/>
      <c r="F406" s="60"/>
      <c r="G406" s="60"/>
      <c r="H406" s="60"/>
      <c r="I406" s="60"/>
      <c r="J406" s="60"/>
      <c r="K406" s="153"/>
      <c r="L406" s="153"/>
      <c r="M406" s="154"/>
    </row>
    <row r="407" spans="2:17" ht="29" x14ac:dyDescent="0.4">
      <c r="B407" s="136" t="s">
        <v>246</v>
      </c>
      <c r="C407" s="136" t="s">
        <v>424</v>
      </c>
      <c r="D407" s="606" t="s">
        <v>425</v>
      </c>
      <c r="E407" s="590" t="s">
        <v>426</v>
      </c>
      <c r="F407" s="591" t="s">
        <v>427</v>
      </c>
      <c r="G407" s="590" t="s">
        <v>428</v>
      </c>
      <c r="H407" s="591" t="s">
        <v>429</v>
      </c>
      <c r="I407" s="591" t="s">
        <v>430</v>
      </c>
      <c r="J407" s="591" t="s">
        <v>431</v>
      </c>
      <c r="K407" s="34"/>
      <c r="L407" s="34"/>
      <c r="M407" s="34"/>
    </row>
    <row r="408" spans="2:17" x14ac:dyDescent="0.25">
      <c r="B408" s="556" t="str">
        <f>'III. INPUT-Baseline'!$B$35</f>
        <v>-</v>
      </c>
      <c r="C408" s="594" t="e">
        <f>$C$22</f>
        <v>#N/A</v>
      </c>
      <c r="D408" s="151">
        <f>MIN(0.95, MAX(0.104,EXP(15175*(('III. INPUT-Baseline'!$C$35+273)-303.16)/(1.987*('III. INPUT-Baseline'!$C$35+273)*303.16))))</f>
        <v>0.104</v>
      </c>
      <c r="E408" s="366">
        <f t="shared" ref="E408:E420" si="106">$C$405</f>
        <v>0</v>
      </c>
      <c r="F408" s="158" t="e">
        <f>(E408*'III. INPUT-Baseline'!L73*'III. INPUT-Baseline'!$L$165*C408*0.8)+G408</f>
        <v>#N/A</v>
      </c>
      <c r="G408" s="592">
        <v>0</v>
      </c>
      <c r="H408" s="158" t="e">
        <f>F408*D408</f>
        <v>#N/A</v>
      </c>
      <c r="I408" s="618">
        <f>IF('III. INPUT-Baseline'!D35=0,0,(H408*'III. INPUT-Baseline'!$C$120*0.68*0.001)*(('III. INPUT-Baseline'!G35-'III. INPUT-Baseline'!H35)/'III. INPUT-Baseline'!E35))</f>
        <v>0</v>
      </c>
      <c r="J408" s="158">
        <f t="shared" ref="J408:J419" si="107">I408*gwp_ch4</f>
        <v>0</v>
      </c>
    </row>
    <row r="409" spans="2:17" x14ac:dyDescent="0.25">
      <c r="B409" s="556" t="str">
        <f>'III. INPUT-Baseline'!$B$36</f>
        <v>-</v>
      </c>
      <c r="C409" s="594" t="e">
        <f>$C$23</f>
        <v>#N/A</v>
      </c>
      <c r="D409" s="151">
        <f>MIN(0.95, MAX(0.104,EXP(15175*(('III. INPUT-Baseline'!$C$36+273)-303.16)/(1.987*('III. INPUT-Baseline'!$C$36+273)*303.16))))</f>
        <v>0.104</v>
      </c>
      <c r="E409" s="366">
        <f t="shared" si="106"/>
        <v>0</v>
      </c>
      <c r="F409" s="158" t="e">
        <f>(E409*'III. INPUT-Baseline'!L74*'III. INPUT-Baseline'!$L$165*C409*0.8)+G409</f>
        <v>#N/A</v>
      </c>
      <c r="G409" s="593" t="e">
        <f>IF('III. INPUT-Baseline'!$I$36=TRUE,0,IF('III. INPUT-Baseline'!$E$142=B408,0,IF('III. INPUT-Baseline'!$F$142=B408,0,IF('III. INPUT-Baseline'!$G$142=B408,0,IF('III. INPUT-Baseline'!$C$142="Yes",0,(F408-H408))))))</f>
        <v>#N/A</v>
      </c>
      <c r="H409" s="158" t="e">
        <f t="shared" ref="H409:H419" si="108">F409*D409</f>
        <v>#N/A</v>
      </c>
      <c r="I409" s="618">
        <f>IF('III. INPUT-Baseline'!D36=0,0,(H409*'III. INPUT-Baseline'!$C$120*0.68*0.001)*(('III. INPUT-Baseline'!G36-'III. INPUT-Baseline'!H36)/'III. INPUT-Baseline'!E36))</f>
        <v>0</v>
      </c>
      <c r="J409" s="158">
        <f t="shared" si="107"/>
        <v>0</v>
      </c>
    </row>
    <row r="410" spans="2:17" x14ac:dyDescent="0.25">
      <c r="B410" s="556" t="str">
        <f>'III. INPUT-Baseline'!$B$37</f>
        <v>-</v>
      </c>
      <c r="C410" s="594" t="e">
        <f>$C$24</f>
        <v>#N/A</v>
      </c>
      <c r="D410" s="151">
        <f>MIN(0.95, MAX(0.104,EXP(15175*(('III. INPUT-Baseline'!$C$37+273)-303.16)/(1.987*('III. INPUT-Baseline'!$C$37+273)*303.16))))</f>
        <v>0.104</v>
      </c>
      <c r="E410" s="366">
        <f t="shared" si="106"/>
        <v>0</v>
      </c>
      <c r="F410" s="158" t="e">
        <f>(E410*'III. INPUT-Baseline'!L75*'III. INPUT-Baseline'!$L$165*C410*0.8)+G410</f>
        <v>#N/A</v>
      </c>
      <c r="G410" s="593" t="e">
        <f>IF('III. INPUT-Baseline'!$I$37=TRUE,0,IF('III. INPUT-Baseline'!$E$142=B409,0,IF('III. INPUT-Baseline'!$F$142=B409,0,IF('III. INPUT-Baseline'!$G$142=B409,0,IF('III. INPUT-Baseline'!$C$142="Yes",0,(F409-H409))))))</f>
        <v>#N/A</v>
      </c>
      <c r="H410" s="158" t="e">
        <f t="shared" si="108"/>
        <v>#N/A</v>
      </c>
      <c r="I410" s="618">
        <f>IF('III. INPUT-Baseline'!D37=0,0,(H410*'III. INPUT-Baseline'!$C$120*0.68*0.001)*(('III. INPUT-Baseline'!G37-'III. INPUT-Baseline'!H37)/'III. INPUT-Baseline'!E37))</f>
        <v>0</v>
      </c>
      <c r="J410" s="158">
        <f t="shared" si="107"/>
        <v>0</v>
      </c>
    </row>
    <row r="411" spans="2:17" x14ac:dyDescent="0.25">
      <c r="B411" s="556" t="str">
        <f>'III. INPUT-Baseline'!$B$38</f>
        <v>-</v>
      </c>
      <c r="C411" s="594" t="e">
        <f>$C$25</f>
        <v>#N/A</v>
      </c>
      <c r="D411" s="151">
        <f>MIN(0.95, MAX(0.104,EXP(15175*(('III. INPUT-Baseline'!$C$38+273)-303.16)/(1.987*('III. INPUT-Baseline'!$C$38+273)*303.16))))</f>
        <v>0.104</v>
      </c>
      <c r="E411" s="366">
        <f t="shared" si="106"/>
        <v>0</v>
      </c>
      <c r="F411" s="158" t="e">
        <f>(E411*'III. INPUT-Baseline'!L76*'III. INPUT-Baseline'!$L$165*C411*0.8)+G411</f>
        <v>#N/A</v>
      </c>
      <c r="G411" s="593" t="e">
        <f>IF('III. INPUT-Baseline'!$I$38=TRUE,0,IF('III. INPUT-Baseline'!$E$142=B410,0,IF('III. INPUT-Baseline'!$F$142=B410,0,IF('III. INPUT-Baseline'!$G$142=B410,0,IF('III. INPUT-Baseline'!$C$142="Yes",0,(F410-H410))))))</f>
        <v>#N/A</v>
      </c>
      <c r="H411" s="158" t="e">
        <f t="shared" si="108"/>
        <v>#N/A</v>
      </c>
      <c r="I411" s="618">
        <f>IF('III. INPUT-Baseline'!D38=0,0,(H411*'III. INPUT-Baseline'!$C$120*0.68*0.001)*(('III. INPUT-Baseline'!G38-'III. INPUT-Baseline'!H38)/'III. INPUT-Baseline'!E38))</f>
        <v>0</v>
      </c>
      <c r="J411" s="158">
        <f t="shared" si="107"/>
        <v>0</v>
      </c>
    </row>
    <row r="412" spans="2:17" x14ac:dyDescent="0.25">
      <c r="B412" s="556" t="str">
        <f>'III. INPUT-Baseline'!$B$39</f>
        <v>-</v>
      </c>
      <c r="C412" s="594" t="e">
        <f>$C$26</f>
        <v>#N/A</v>
      </c>
      <c r="D412" s="151">
        <f>MIN(0.95, MAX(0.104,EXP(15175*(('III. INPUT-Baseline'!$C$39+273)-303.16)/(1.987*('III. INPUT-Baseline'!$C$39+273)*303.16))))</f>
        <v>0.104</v>
      </c>
      <c r="E412" s="366">
        <f t="shared" si="106"/>
        <v>0</v>
      </c>
      <c r="F412" s="158" t="e">
        <f>(E412*'III. INPUT-Baseline'!L77*'III. INPUT-Baseline'!$L$165*C412*0.8)+G412</f>
        <v>#N/A</v>
      </c>
      <c r="G412" s="593" t="e">
        <f>IF('III. INPUT-Baseline'!$I$39=TRUE,0,IF('III. INPUT-Baseline'!$E$142=B411,0,IF('III. INPUT-Baseline'!$F$142=B411,0,IF('III. INPUT-Baseline'!$G$142=B411,0,IF('III. INPUT-Baseline'!$C$142="Yes",0,(F411-H411))))))</f>
        <v>#N/A</v>
      </c>
      <c r="H412" s="158" t="e">
        <f t="shared" si="108"/>
        <v>#N/A</v>
      </c>
      <c r="I412" s="618">
        <f>IF('III. INPUT-Baseline'!D39=0,0,(H412*'III. INPUT-Baseline'!$C$120*0.68*0.001)*(('III. INPUT-Baseline'!G39-'III. INPUT-Baseline'!H39)/'III. INPUT-Baseline'!E39))</f>
        <v>0</v>
      </c>
      <c r="J412" s="158">
        <f t="shared" si="107"/>
        <v>0</v>
      </c>
    </row>
    <row r="413" spans="2:17" x14ac:dyDescent="0.25">
      <c r="B413" s="556" t="str">
        <f>'III. INPUT-Baseline'!$B$40</f>
        <v>-</v>
      </c>
      <c r="C413" s="594" t="e">
        <f>$C$27</f>
        <v>#N/A</v>
      </c>
      <c r="D413" s="151">
        <f>MIN(0.95, MAX(0.104,EXP(15175*(('III. INPUT-Baseline'!$C$40+273)-303.16)/(1.987*('III. INPUT-Baseline'!$C$40+273)*303.16))))</f>
        <v>0.104</v>
      </c>
      <c r="E413" s="366">
        <f t="shared" si="106"/>
        <v>0</v>
      </c>
      <c r="F413" s="158" t="e">
        <f>(E413*'III. INPUT-Baseline'!L78*'III. INPUT-Baseline'!$L$165*C413*0.8)+G413</f>
        <v>#N/A</v>
      </c>
      <c r="G413" s="593" t="e">
        <f>IF('III. INPUT-Baseline'!$I$40=TRUE,0,IF('III. INPUT-Baseline'!$E$142=B412,0,IF('III. INPUT-Baseline'!$F$142=B412,0,IF('III. INPUT-Baseline'!$G$142=B412,0,IF('III. INPUT-Baseline'!$C$142="Yes",0,(F412-H412))))))</f>
        <v>#N/A</v>
      </c>
      <c r="H413" s="158" t="e">
        <f t="shared" si="108"/>
        <v>#N/A</v>
      </c>
      <c r="I413" s="618">
        <f>IF('III. INPUT-Baseline'!D40=0,0,(H413*'III. INPUT-Baseline'!$C$120*0.68*0.001)*(('III. INPUT-Baseline'!G40-'III. INPUT-Baseline'!H40)/'III. INPUT-Baseline'!E40))</f>
        <v>0</v>
      </c>
      <c r="J413" s="158">
        <f t="shared" si="107"/>
        <v>0</v>
      </c>
    </row>
    <row r="414" spans="2:17" x14ac:dyDescent="0.25">
      <c r="B414" s="556" t="str">
        <f>'III. INPUT-Baseline'!$B$41</f>
        <v>-</v>
      </c>
      <c r="C414" s="594" t="e">
        <f>$C$28</f>
        <v>#N/A</v>
      </c>
      <c r="D414" s="151">
        <f>MIN(0.95, MAX(0.104,EXP(15175*(('III. INPUT-Baseline'!$C$41+273)-303.16)/(1.987*('III. INPUT-Baseline'!$C$41+273)*303.16))))</f>
        <v>0.104</v>
      </c>
      <c r="E414" s="366">
        <f t="shared" si="106"/>
        <v>0</v>
      </c>
      <c r="F414" s="158" t="e">
        <f>(E414*'III. INPUT-Baseline'!L79*'III. INPUT-Baseline'!$L$165*C414*0.8)+G414</f>
        <v>#N/A</v>
      </c>
      <c r="G414" s="593" t="e">
        <f>IF('III. INPUT-Baseline'!$I$41=TRUE,0,IF('III. INPUT-Baseline'!$E$142=B413,0,IF('III. INPUT-Baseline'!$F$142=B413,0,IF('III. INPUT-Baseline'!$G$142=B413,0,IF('III. INPUT-Baseline'!$C$142="Yes",0,(F413-H413))))))</f>
        <v>#N/A</v>
      </c>
      <c r="H414" s="158" t="e">
        <f t="shared" si="108"/>
        <v>#N/A</v>
      </c>
      <c r="I414" s="618">
        <f>IF('III. INPUT-Baseline'!D41=0,0,(H414*'III. INPUT-Baseline'!$C$120*0.68*0.001)*(('III. INPUT-Baseline'!G41-'III. INPUT-Baseline'!H41)/'III. INPUT-Baseline'!E41))</f>
        <v>0</v>
      </c>
      <c r="J414" s="158">
        <f t="shared" si="107"/>
        <v>0</v>
      </c>
    </row>
    <row r="415" spans="2:17" x14ac:dyDescent="0.25">
      <c r="B415" s="556" t="str">
        <f>'III. INPUT-Baseline'!$B$42</f>
        <v>-</v>
      </c>
      <c r="C415" s="594" t="e">
        <f>$C$29</f>
        <v>#N/A</v>
      </c>
      <c r="D415" s="151">
        <f>MIN(0.95, MAX(0.104,EXP(15175*(('III. INPUT-Baseline'!$C$42+273)-303.16)/(1.987*('III. INPUT-Baseline'!$C$42+273)*303.16))))</f>
        <v>0.104</v>
      </c>
      <c r="E415" s="366">
        <f t="shared" si="106"/>
        <v>0</v>
      </c>
      <c r="F415" s="158" t="e">
        <f>(E415*'III. INPUT-Baseline'!L80*'III. INPUT-Baseline'!$L$165*C415*0.8)+G415</f>
        <v>#N/A</v>
      </c>
      <c r="G415" s="593" t="e">
        <f>IF('III. INPUT-Baseline'!$I$42=TRUE,0,IF('III. INPUT-Baseline'!$E$142=B414,0,IF('III. INPUT-Baseline'!$F$142=B414,0,IF('III. INPUT-Baseline'!$G$142=B414,0,IF('III. INPUT-Baseline'!$C$142="Yes",0,(F414-H414))))))</f>
        <v>#N/A</v>
      </c>
      <c r="H415" s="158" t="e">
        <f t="shared" si="108"/>
        <v>#N/A</v>
      </c>
      <c r="I415" s="618">
        <f>IF('III. INPUT-Baseline'!D42=0,0,(H415*'III. INPUT-Baseline'!$C$120*0.68*0.001)*(('III. INPUT-Baseline'!G42-'III. INPUT-Baseline'!H42)/'III. INPUT-Baseline'!E42))</f>
        <v>0</v>
      </c>
      <c r="J415" s="158">
        <f t="shared" si="107"/>
        <v>0</v>
      </c>
    </row>
    <row r="416" spans="2:17" s="3" customFormat="1" ht="13" x14ac:dyDescent="0.3">
      <c r="B416" s="556" t="str">
        <f>'III. INPUT-Baseline'!$B$43</f>
        <v>-</v>
      </c>
      <c r="C416" s="594" t="e">
        <f>$C$30</f>
        <v>#N/A</v>
      </c>
      <c r="D416" s="151">
        <f>MIN(0.95, MAX(0.104,EXP(15175*(('III. INPUT-Baseline'!$C$43+273)-303.16)/(1.987*('III. INPUT-Baseline'!$C$43+273)*303.16))))</f>
        <v>0.104</v>
      </c>
      <c r="E416" s="366">
        <f t="shared" si="106"/>
        <v>0</v>
      </c>
      <c r="F416" s="158" t="e">
        <f>(E416*'III. INPUT-Baseline'!L81*'III. INPUT-Baseline'!$L$165*C416*0.8)+G416</f>
        <v>#N/A</v>
      </c>
      <c r="G416" s="593" t="e">
        <f>IF('III. INPUT-Baseline'!$I$43=TRUE,0,IF('III. INPUT-Baseline'!$E$142=B415,0,IF('III. INPUT-Baseline'!$F$142=B415,0,IF('III. INPUT-Baseline'!$G$142=B415,0,IF('III. INPUT-Baseline'!$C$142="Yes",0,(F415-H415))))))</f>
        <v>#N/A</v>
      </c>
      <c r="H416" s="158" t="e">
        <f t="shared" si="108"/>
        <v>#N/A</v>
      </c>
      <c r="I416" s="618">
        <f>IF('III. INPUT-Baseline'!D43=0,0,(H416*'III. INPUT-Baseline'!$C$120*0.68*0.001)*(('III. INPUT-Baseline'!G43-'III. INPUT-Baseline'!H43)/'III. INPUT-Baseline'!E43))</f>
        <v>0</v>
      </c>
      <c r="J416" s="158">
        <f t="shared" si="107"/>
        <v>0</v>
      </c>
      <c r="K416" s="153"/>
      <c r="L416" s="153"/>
      <c r="M416" s="154"/>
      <c r="N416" s="154"/>
      <c r="O416" s="4"/>
      <c r="Q416" s="153"/>
    </row>
    <row r="417" spans="2:17" x14ac:dyDescent="0.25">
      <c r="B417" s="556" t="str">
        <f>'III. INPUT-Baseline'!$B$44</f>
        <v>-</v>
      </c>
      <c r="C417" s="594" t="e">
        <f>$C$31</f>
        <v>#N/A</v>
      </c>
      <c r="D417" s="151">
        <f>MIN(0.95, MAX(0.104,EXP(15175*(('III. INPUT-Baseline'!$C$44+273)-303.16)/(1.987*('III. INPUT-Baseline'!$C$44+273)*303.16))))</f>
        <v>0.104</v>
      </c>
      <c r="E417" s="366">
        <f t="shared" si="106"/>
        <v>0</v>
      </c>
      <c r="F417" s="158" t="e">
        <f>(E417*'III. INPUT-Baseline'!L82*'III. INPUT-Baseline'!$L$165*C417*0.8)+G417</f>
        <v>#N/A</v>
      </c>
      <c r="G417" s="593" t="e">
        <f>IF('III. INPUT-Baseline'!$I$44=TRUE,0,IF('III. INPUT-Baseline'!$E$142=B416,0,IF('III. INPUT-Baseline'!$F$142=B416,0,IF('III. INPUT-Baseline'!$G$142=B416,0,IF('III. INPUT-Baseline'!$C$142="Yes",0,(F416-H416))))))</f>
        <v>#N/A</v>
      </c>
      <c r="H417" s="158" t="e">
        <f t="shared" si="108"/>
        <v>#N/A</v>
      </c>
      <c r="I417" s="618">
        <f>IF('III. INPUT-Baseline'!D44=0,0,(H417*'III. INPUT-Baseline'!$C$120*0.68*0.001)*(('III. INPUT-Baseline'!G44-'III. INPUT-Baseline'!H44)/'III. INPUT-Baseline'!E44))</f>
        <v>0</v>
      </c>
      <c r="J417" s="158">
        <f t="shared" si="107"/>
        <v>0</v>
      </c>
      <c r="K417" s="94"/>
      <c r="L417" s="94"/>
      <c r="M417" s="94"/>
      <c r="N417" s="156"/>
      <c r="O417" s="94"/>
      <c r="P417" s="156"/>
      <c r="Q417" s="156"/>
    </row>
    <row r="418" spans="2:17" s="3" customFormat="1" ht="13" x14ac:dyDescent="0.3">
      <c r="B418" s="556" t="str">
        <f>'III. INPUT-Baseline'!$B$45</f>
        <v>-</v>
      </c>
      <c r="C418" s="594" t="e">
        <f>$C$32</f>
        <v>#N/A</v>
      </c>
      <c r="D418" s="151">
        <f>MIN(0.95, MAX(0.104,EXP(15175*(('III. INPUT-Baseline'!$C$45+273)-303.16)/(1.987*('III. INPUT-Baseline'!$C$45+273)*303.16))))</f>
        <v>0.104</v>
      </c>
      <c r="E418" s="366">
        <f t="shared" si="106"/>
        <v>0</v>
      </c>
      <c r="F418" s="158" t="e">
        <f>(E418*'III. INPUT-Baseline'!L83*'III. INPUT-Baseline'!$L$165*C418*0.8)+G418</f>
        <v>#N/A</v>
      </c>
      <c r="G418" s="593" t="e">
        <f>IF('III. INPUT-Baseline'!$I$45=TRUE,0,IF('III. INPUT-Baseline'!$E$142=B417,0,IF('III. INPUT-Baseline'!$F$142=B417,0,IF('III. INPUT-Baseline'!$G$142=B417,0,IF('III. INPUT-Baseline'!$C$142="Yes",0,(F417-H417))))))</f>
        <v>#N/A</v>
      </c>
      <c r="H418" s="158" t="e">
        <f t="shared" si="108"/>
        <v>#N/A</v>
      </c>
      <c r="I418" s="618">
        <f>IF('III. INPUT-Baseline'!D45=0,0,(H418*'III. INPUT-Baseline'!$C$120*0.68*0.001)*(('III. INPUT-Baseline'!G45-'III. INPUT-Baseline'!H45)/'III. INPUT-Baseline'!E45))</f>
        <v>0</v>
      </c>
      <c r="J418" s="158">
        <f t="shared" si="107"/>
        <v>0</v>
      </c>
      <c r="K418" s="4"/>
      <c r="L418" s="4"/>
      <c r="M418" s="4"/>
      <c r="O418" s="4"/>
    </row>
    <row r="419" spans="2:17" ht="13" x14ac:dyDescent="0.3">
      <c r="B419" s="556" t="str">
        <f>'III. INPUT-Baseline'!$B$46</f>
        <v>-</v>
      </c>
      <c r="C419" s="594" t="e">
        <f>$C$33</f>
        <v>#N/A</v>
      </c>
      <c r="D419" s="151">
        <f>MIN(0.95, MAX(0.104,EXP(15175*(('III. INPUT-Baseline'!$C$46+273)-303.16)/(1.987*('III. INPUT-Baseline'!$C$46+273)*303.16))))</f>
        <v>0.104</v>
      </c>
      <c r="E419" s="366">
        <f t="shared" si="106"/>
        <v>0</v>
      </c>
      <c r="F419" s="158" t="e">
        <f>(E419*'III. INPUT-Baseline'!L84*'III. INPUT-Baseline'!$L$165*C419*0.8)+G419</f>
        <v>#N/A</v>
      </c>
      <c r="G419" s="593" t="e">
        <f>IF('III. INPUT-Baseline'!$I$46=TRUE,0,IF('III. INPUT-Baseline'!$E$142=B418,0,IF('III. INPUT-Baseline'!$F$142=B418,0,IF('III. INPUT-Baseline'!$G$142=B418,0,IF('III. INPUT-Baseline'!$C$142="Yes",0,(F418-H418))))))</f>
        <v>#N/A</v>
      </c>
      <c r="H419" s="158" t="e">
        <f t="shared" si="108"/>
        <v>#N/A</v>
      </c>
      <c r="I419" s="618">
        <f>IF('III. INPUT-Baseline'!D46=0,0,(H419*'III. INPUT-Baseline'!$C$120*0.68*0.001)*(('III. INPUT-Baseline'!G46-'III. INPUT-Baseline'!H46)/'III. INPUT-Baseline'!E46))</f>
        <v>0</v>
      </c>
      <c r="J419" s="158">
        <f t="shared" si="107"/>
        <v>0</v>
      </c>
      <c r="K419" s="4"/>
      <c r="L419" s="4"/>
      <c r="M419" s="4"/>
      <c r="O419" s="49"/>
    </row>
    <row r="420" spans="2:17" ht="13" x14ac:dyDescent="0.3">
      <c r="B420" s="609" t="str">
        <f>'III. INPUT-Baseline'!$B$47</f>
        <v>-</v>
      </c>
      <c r="C420" s="594" t="e">
        <f>$C$34</f>
        <v>#N/A</v>
      </c>
      <c r="D420" s="151">
        <f>MIN(0.95, MAX(0.104,EXP(15175*(('III. INPUT-Baseline'!$C$47+273)-303.16)/(1.987*('III. INPUT-Baseline'!$C$47+273)*303.16))))</f>
        <v>0.104</v>
      </c>
      <c r="E420" s="611">
        <f t="shared" si="106"/>
        <v>0</v>
      </c>
      <c r="F420" s="610" t="e">
        <f>(E420*'III. INPUT-Baseline'!L85*'III. INPUT-Baseline'!$L$165*C420*0.8)+G420</f>
        <v>#N/A</v>
      </c>
      <c r="G420" s="612" t="e">
        <f>IF('III. INPUT-Baseline'!$I$46=TRUE,0,IF('III. INPUT-Baseline'!$E$142=B419,0,IF('III. INPUT-Baseline'!$F$142=B419,0,IF('III. INPUT-Baseline'!$G$142=B419,0,IF('III. INPUT-Baseline'!$C$142="Yes",0,(F419-H419))))))</f>
        <v>#N/A</v>
      </c>
      <c r="H420" s="610" t="e">
        <f t="shared" ref="H420" si="109">F420*D420</f>
        <v>#N/A</v>
      </c>
      <c r="I420" s="618">
        <f>IF('III. INPUT-Baseline'!D47=0,0,(H420*'III. INPUT-Baseline'!$C$120*0.68*0.001)*(('III. INPUT-Baseline'!G47-'III. INPUT-Baseline'!H47)/'III. INPUT-Baseline'!E47))</f>
        <v>0</v>
      </c>
      <c r="J420" s="610">
        <f t="shared" ref="J420" si="110">I420*gwp_ch4</f>
        <v>0</v>
      </c>
      <c r="K420" s="4"/>
      <c r="L420" s="4"/>
      <c r="M420" s="4"/>
      <c r="O420" s="49"/>
    </row>
    <row r="421" spans="2:17" ht="13" x14ac:dyDescent="0.3">
      <c r="B421" s="596" t="s">
        <v>432</v>
      </c>
      <c r="C421" s="613"/>
      <c r="D421" s="598"/>
      <c r="E421" s="598"/>
      <c r="F421" s="614"/>
      <c r="G421" s="615"/>
      <c r="H421" s="605" t="e">
        <f>SUM(H408:H420)</f>
        <v>#N/A</v>
      </c>
      <c r="I421" s="605">
        <f t="shared" ref="I421:J421" si="111">SUM(I408:I420)</f>
        <v>0</v>
      </c>
      <c r="J421" s="605">
        <f t="shared" si="111"/>
        <v>0</v>
      </c>
      <c r="K421" s="4"/>
      <c r="L421" s="4"/>
      <c r="M421" s="4"/>
      <c r="O421" s="49"/>
    </row>
    <row r="422" spans="2:17" s="3" customFormat="1" ht="13" x14ac:dyDescent="0.3">
      <c r="D422" s="60"/>
      <c r="E422" s="60"/>
      <c r="F422" s="61"/>
      <c r="G422" s="61"/>
      <c r="H422" s="61"/>
      <c r="I422" s="61"/>
      <c r="J422" s="61"/>
      <c r="K422" s="153"/>
      <c r="L422" s="153"/>
      <c r="M422" s="154"/>
    </row>
    <row r="423" spans="2:17" s="3" customFormat="1" ht="13" x14ac:dyDescent="0.3">
      <c r="D423" s="60"/>
      <c r="E423" s="656" t="s">
        <v>241</v>
      </c>
      <c r="F423" s="675"/>
      <c r="G423" s="675"/>
      <c r="H423" s="675"/>
      <c r="I423" s="675"/>
      <c r="J423" s="676"/>
      <c r="K423" s="153"/>
      <c r="L423" s="153"/>
      <c r="M423" s="154"/>
    </row>
    <row r="424" spans="2:17" s="3" customFormat="1" ht="13" x14ac:dyDescent="0.3">
      <c r="D424" s="60"/>
      <c r="E424" s="677"/>
      <c r="F424" s="678"/>
      <c r="G424" s="678"/>
      <c r="H424" s="678"/>
      <c r="I424" s="678"/>
      <c r="J424" s="679"/>
      <c r="K424" s="153"/>
      <c r="L424" s="153"/>
      <c r="M424" s="154"/>
    </row>
    <row r="425" spans="2:17" s="3" customFormat="1" ht="13" x14ac:dyDescent="0.3">
      <c r="B425" s="585">
        <f>B404</f>
        <v>0</v>
      </c>
      <c r="C425" s="585">
        <f>'III. INPUT-Baseline'!B126</f>
        <v>0</v>
      </c>
      <c r="D425" s="149"/>
      <c r="E425" s="680"/>
      <c r="F425" s="681"/>
      <c r="G425" s="681"/>
      <c r="H425" s="681"/>
      <c r="I425" s="681"/>
      <c r="J425" s="682"/>
      <c r="K425" s="153"/>
      <c r="L425" s="153"/>
      <c r="M425" s="154"/>
    </row>
    <row r="426" spans="2:17" s="3" customFormat="1" ht="15" x14ac:dyDescent="0.4">
      <c r="B426" s="546" t="s">
        <v>423</v>
      </c>
      <c r="C426" s="586">
        <f>C405</f>
        <v>0</v>
      </c>
      <c r="D426" s="39"/>
      <c r="E426" s="61"/>
      <c r="F426" s="60"/>
      <c r="G426" s="60"/>
      <c r="H426" s="60"/>
      <c r="I426" s="60"/>
      <c r="J426" s="60"/>
      <c r="K426" s="153"/>
      <c r="L426" s="153"/>
      <c r="M426" s="154"/>
    </row>
    <row r="427" spans="2:17" s="3" customFormat="1" ht="13" x14ac:dyDescent="0.3">
      <c r="B427" s="616"/>
      <c r="C427" s="617"/>
      <c r="D427" s="39"/>
      <c r="E427" s="61"/>
      <c r="F427" s="60"/>
      <c r="G427" s="60"/>
      <c r="H427" s="60"/>
      <c r="I427" s="60"/>
      <c r="J427" s="60"/>
      <c r="K427" s="153"/>
      <c r="L427" s="153"/>
      <c r="M427" s="154"/>
    </row>
    <row r="428" spans="2:17" ht="29" x14ac:dyDescent="0.4">
      <c r="B428" s="624" t="s">
        <v>246</v>
      </c>
      <c r="C428" s="624" t="s">
        <v>424</v>
      </c>
      <c r="D428" s="606" t="s">
        <v>425</v>
      </c>
      <c r="E428" s="590" t="s">
        <v>426</v>
      </c>
      <c r="F428" s="591" t="s">
        <v>427</v>
      </c>
      <c r="G428" s="590" t="s">
        <v>428</v>
      </c>
      <c r="H428" s="591" t="s">
        <v>429</v>
      </c>
      <c r="I428" s="591" t="s">
        <v>430</v>
      </c>
      <c r="J428" s="591" t="s">
        <v>431</v>
      </c>
      <c r="K428" s="34"/>
      <c r="L428" s="34"/>
      <c r="M428" s="34"/>
    </row>
    <row r="429" spans="2:17" x14ac:dyDescent="0.25">
      <c r="B429" s="556" t="str">
        <f>'III. INPUT-Baseline'!$B$35</f>
        <v>-</v>
      </c>
      <c r="C429" s="594" t="e">
        <f>$C$22</f>
        <v>#N/A</v>
      </c>
      <c r="D429" s="151">
        <f>MIN(0.95, MAX(0.104,EXP(15175*(('III. INPUT-Baseline'!$C$35+273)-303.16)/(1.987*('III. INPUT-Baseline'!$C$35+273)*303.16))))</f>
        <v>0.104</v>
      </c>
      <c r="E429" s="366">
        <f t="shared" ref="E429:E441" si="112">$C$426</f>
        <v>0</v>
      </c>
      <c r="F429" s="158" t="e">
        <f>(E429*'III. INPUT-Baseline'!L73*'III. INPUT-Baseline'!$L$166*C429*0.8)+G429</f>
        <v>#N/A</v>
      </c>
      <c r="G429" s="592">
        <v>0</v>
      </c>
      <c r="H429" s="158" t="e">
        <f>F429*D429</f>
        <v>#N/A</v>
      </c>
      <c r="I429" s="618">
        <f>IF('III. INPUT-Baseline'!D35=0,0,(H429*'III. INPUT-Baseline'!$C$120*0.68*0.001)*(('III. INPUT-Baseline'!G35-'III. INPUT-Baseline'!H35)/'III. INPUT-Baseline'!E35))</f>
        <v>0</v>
      </c>
      <c r="J429" s="158">
        <f t="shared" ref="J429:J440" si="113">I429*gwp_ch4</f>
        <v>0</v>
      </c>
    </row>
    <row r="430" spans="2:17" x14ac:dyDescent="0.25">
      <c r="B430" s="556" t="str">
        <f>'III. INPUT-Baseline'!$B$36</f>
        <v>-</v>
      </c>
      <c r="C430" s="594" t="e">
        <f>$C$23</f>
        <v>#N/A</v>
      </c>
      <c r="D430" s="151">
        <f>MIN(0.95, MAX(0.104,EXP(15175*(('III. INPUT-Baseline'!$C$36+273)-303.16)/(1.987*('III. INPUT-Baseline'!$C$36+273)*303.16))))</f>
        <v>0.104</v>
      </c>
      <c r="E430" s="366">
        <f t="shared" si="112"/>
        <v>0</v>
      </c>
      <c r="F430" s="158" t="e">
        <f>(E430*'III. INPUT-Baseline'!L74*'III. INPUT-Baseline'!$L$166*C430*0.8)+G430</f>
        <v>#N/A</v>
      </c>
      <c r="G430" s="593">
        <f>IF('III. INPUT-Baseline'!$I36=TRUE,0,IF('III. INPUT-Baseline'!$E$143=B429,0,IF('III. INPUT-Baseline'!$F$143=B429,0,IF('III. INPUT-Baseline'!$G$143=B429,0,IF('III. INPUT-Baseline'!$C$143="Yes",0,(F429-H429))))))</f>
        <v>0</v>
      </c>
      <c r="H430" s="158" t="e">
        <f t="shared" ref="H430:H440" si="114">F430*D430</f>
        <v>#N/A</v>
      </c>
      <c r="I430" s="618">
        <f>IF('III. INPUT-Baseline'!D36=0,0,(H430*'III. INPUT-Baseline'!$C$120*0.68*0.001)*(('III. INPUT-Baseline'!G36-'III. INPUT-Baseline'!H36)/'III. INPUT-Baseline'!E36))</f>
        <v>0</v>
      </c>
      <c r="J430" s="158">
        <f t="shared" si="113"/>
        <v>0</v>
      </c>
    </row>
    <row r="431" spans="2:17" x14ac:dyDescent="0.25">
      <c r="B431" s="556" t="str">
        <f>'III. INPUT-Baseline'!$B$37</f>
        <v>-</v>
      </c>
      <c r="C431" s="594" t="e">
        <f>$C$24</f>
        <v>#N/A</v>
      </c>
      <c r="D431" s="151">
        <f>MIN(0.95, MAX(0.104,EXP(15175*(('III. INPUT-Baseline'!$C$37+273)-303.16)/(1.987*('III. INPUT-Baseline'!$C$37+273)*303.16))))</f>
        <v>0.104</v>
      </c>
      <c r="E431" s="366">
        <f t="shared" si="112"/>
        <v>0</v>
      </c>
      <c r="F431" s="158" t="e">
        <f>(E431*'III. INPUT-Baseline'!L75*'III. INPUT-Baseline'!$L$166*C431*0.8)+G431</f>
        <v>#N/A</v>
      </c>
      <c r="G431" s="593">
        <f>IF('III. INPUT-Baseline'!$I37=TRUE,0,IF('III. INPUT-Baseline'!$E$143=B430,0,IF('III. INPUT-Baseline'!$F$143=B430,0,IF('III. INPUT-Baseline'!$G$143=B430,0,IF('III. INPUT-Baseline'!$C$143="Yes",0,(F430-H430))))))</f>
        <v>0</v>
      </c>
      <c r="H431" s="158" t="e">
        <f t="shared" si="114"/>
        <v>#N/A</v>
      </c>
      <c r="I431" s="618">
        <f>IF('III. INPUT-Baseline'!D37=0,0,(H431*'III. INPUT-Baseline'!$C$120*0.68*0.001)*(('III. INPUT-Baseline'!G37-'III. INPUT-Baseline'!H37)/'III. INPUT-Baseline'!E37))</f>
        <v>0</v>
      </c>
      <c r="J431" s="158">
        <f t="shared" si="113"/>
        <v>0</v>
      </c>
    </row>
    <row r="432" spans="2:17" x14ac:dyDescent="0.25">
      <c r="B432" s="556" t="str">
        <f>'III. INPUT-Baseline'!$B$38</f>
        <v>-</v>
      </c>
      <c r="C432" s="594" t="e">
        <f>$C$25</f>
        <v>#N/A</v>
      </c>
      <c r="D432" s="151">
        <f>MIN(0.95, MAX(0.104,EXP(15175*(('III. INPUT-Baseline'!$C$38+273)-303.16)/(1.987*('III. INPUT-Baseline'!$C$38+273)*303.16))))</f>
        <v>0.104</v>
      </c>
      <c r="E432" s="366">
        <f t="shared" si="112"/>
        <v>0</v>
      </c>
      <c r="F432" s="158" t="e">
        <f>(E432*'III. INPUT-Baseline'!L76*'III. INPUT-Baseline'!$L$166*C432*0.8)+G432</f>
        <v>#N/A</v>
      </c>
      <c r="G432" s="593">
        <f>IF('III. INPUT-Baseline'!$I38=TRUE,0,IF('III. INPUT-Baseline'!$E$143=B431,0,IF('III. INPUT-Baseline'!$F$143=B431,0,IF('III. INPUT-Baseline'!$G$143=B431,0,IF('III. INPUT-Baseline'!$C$143="Yes",0,(F431-H431))))))</f>
        <v>0</v>
      </c>
      <c r="H432" s="158" t="e">
        <f t="shared" si="114"/>
        <v>#N/A</v>
      </c>
      <c r="I432" s="618">
        <f>IF('III. INPUT-Baseline'!D38=0,0,(H432*'III. INPUT-Baseline'!$C$120*0.68*0.001)*(('III. INPUT-Baseline'!G38-'III. INPUT-Baseline'!H38)/'III. INPUT-Baseline'!E38))</f>
        <v>0</v>
      </c>
      <c r="J432" s="158">
        <f t="shared" si="113"/>
        <v>0</v>
      </c>
    </row>
    <row r="433" spans="2:17" x14ac:dyDescent="0.25">
      <c r="B433" s="556" t="str">
        <f>'III. INPUT-Baseline'!$B$39</f>
        <v>-</v>
      </c>
      <c r="C433" s="594" t="e">
        <f>$C$26</f>
        <v>#N/A</v>
      </c>
      <c r="D433" s="151">
        <f>MIN(0.95, MAX(0.104,EXP(15175*(('III. INPUT-Baseline'!$C$39+273)-303.16)/(1.987*('III. INPUT-Baseline'!$C$39+273)*303.16))))</f>
        <v>0.104</v>
      </c>
      <c r="E433" s="366">
        <f t="shared" si="112"/>
        <v>0</v>
      </c>
      <c r="F433" s="158" t="e">
        <f>(E433*'III. INPUT-Baseline'!L77*'III. INPUT-Baseline'!$L$166*C433*0.8)+G433</f>
        <v>#N/A</v>
      </c>
      <c r="G433" s="593">
        <f>IF('III. INPUT-Baseline'!$I39=TRUE,0,IF('III. INPUT-Baseline'!$E$143=B432,0,IF('III. INPUT-Baseline'!$F$143=B432,0,IF('III. INPUT-Baseline'!$G$143=B432,0,IF('III. INPUT-Baseline'!$C$143="Yes",0,(F432-H432))))))</f>
        <v>0</v>
      </c>
      <c r="H433" s="158" t="e">
        <f t="shared" si="114"/>
        <v>#N/A</v>
      </c>
      <c r="I433" s="618">
        <f>IF('III. INPUT-Baseline'!D39=0,0,(H433*'III. INPUT-Baseline'!$C$120*0.68*0.001)*(('III. INPUT-Baseline'!G39-'III. INPUT-Baseline'!H39)/'III. INPUT-Baseline'!E39))</f>
        <v>0</v>
      </c>
      <c r="J433" s="158">
        <f t="shared" si="113"/>
        <v>0</v>
      </c>
    </row>
    <row r="434" spans="2:17" x14ac:dyDescent="0.25">
      <c r="B434" s="556" t="str">
        <f>'III. INPUT-Baseline'!$B$40</f>
        <v>-</v>
      </c>
      <c r="C434" s="594" t="e">
        <f>$C$27</f>
        <v>#N/A</v>
      </c>
      <c r="D434" s="151">
        <f>MIN(0.95, MAX(0.104,EXP(15175*(('III. INPUT-Baseline'!$C$40+273)-303.16)/(1.987*('III. INPUT-Baseline'!$C$40+273)*303.16))))</f>
        <v>0.104</v>
      </c>
      <c r="E434" s="366">
        <f t="shared" si="112"/>
        <v>0</v>
      </c>
      <c r="F434" s="158" t="e">
        <f>(E434*'III. INPUT-Baseline'!L78*'III. INPUT-Baseline'!$L$166*C434*0.8)+G434</f>
        <v>#N/A</v>
      </c>
      <c r="G434" s="593">
        <f>IF('III. INPUT-Baseline'!$I40=TRUE,0,IF('III. INPUT-Baseline'!$E$143=B433,0,IF('III. INPUT-Baseline'!$F$143=B433,0,IF('III. INPUT-Baseline'!$G$143=B433,0,IF('III. INPUT-Baseline'!$C$143="Yes",0,(F433-H433))))))</f>
        <v>0</v>
      </c>
      <c r="H434" s="158" t="e">
        <f t="shared" si="114"/>
        <v>#N/A</v>
      </c>
      <c r="I434" s="618">
        <f>IF('III. INPUT-Baseline'!D40=0,0,(H434*'III. INPUT-Baseline'!$C$120*0.68*0.001)*(('III. INPUT-Baseline'!G40-'III. INPUT-Baseline'!H40)/'III. INPUT-Baseline'!E40))</f>
        <v>0</v>
      </c>
      <c r="J434" s="158">
        <f t="shared" si="113"/>
        <v>0</v>
      </c>
    </row>
    <row r="435" spans="2:17" x14ac:dyDescent="0.25">
      <c r="B435" s="556" t="str">
        <f>'III. INPUT-Baseline'!$B$41</f>
        <v>-</v>
      </c>
      <c r="C435" s="594" t="e">
        <f>$C$28</f>
        <v>#N/A</v>
      </c>
      <c r="D435" s="151">
        <f>MIN(0.95, MAX(0.104,EXP(15175*(('III. INPUT-Baseline'!$C$41+273)-303.16)/(1.987*('III. INPUT-Baseline'!$C$41+273)*303.16))))</f>
        <v>0.104</v>
      </c>
      <c r="E435" s="366">
        <f t="shared" si="112"/>
        <v>0</v>
      </c>
      <c r="F435" s="158" t="e">
        <f>(E435*'III. INPUT-Baseline'!L79*'III. INPUT-Baseline'!$L$166*C435*0.8)+G435</f>
        <v>#N/A</v>
      </c>
      <c r="G435" s="593">
        <f>IF('III. INPUT-Baseline'!$I41=TRUE,0,IF('III. INPUT-Baseline'!$E$143=B434,0,IF('III. INPUT-Baseline'!$F$143=B434,0,IF('III. INPUT-Baseline'!$G$143=B434,0,IF('III. INPUT-Baseline'!$C$143="Yes",0,(F434-H434))))))</f>
        <v>0</v>
      </c>
      <c r="H435" s="158" t="e">
        <f t="shared" si="114"/>
        <v>#N/A</v>
      </c>
      <c r="I435" s="618">
        <f>IF('III. INPUT-Baseline'!D41=0,0,(H435*'III. INPUT-Baseline'!$C$120*0.68*0.001)*(('III. INPUT-Baseline'!G41-'III. INPUT-Baseline'!H41)/'III. INPUT-Baseline'!E41))</f>
        <v>0</v>
      </c>
      <c r="J435" s="158">
        <f t="shared" si="113"/>
        <v>0</v>
      </c>
    </row>
    <row r="436" spans="2:17" x14ac:dyDescent="0.25">
      <c r="B436" s="556" t="str">
        <f>'III. INPUT-Baseline'!$B$42</f>
        <v>-</v>
      </c>
      <c r="C436" s="594" t="e">
        <f>$C$29</f>
        <v>#N/A</v>
      </c>
      <c r="D436" s="151">
        <f>MIN(0.95, MAX(0.104,EXP(15175*(('III. INPUT-Baseline'!$C$42+273)-303.16)/(1.987*('III. INPUT-Baseline'!$C$42+273)*303.16))))</f>
        <v>0.104</v>
      </c>
      <c r="E436" s="366">
        <f t="shared" si="112"/>
        <v>0</v>
      </c>
      <c r="F436" s="158" t="e">
        <f>(E436*'III. INPUT-Baseline'!L80*'III. INPUT-Baseline'!$L$166*C436*0.8)+G436</f>
        <v>#N/A</v>
      </c>
      <c r="G436" s="593">
        <f>IF('III. INPUT-Baseline'!$I42=TRUE,0,IF('III. INPUT-Baseline'!$E$143=B435,0,IF('III. INPUT-Baseline'!$F$143=B435,0,IF('III. INPUT-Baseline'!$G$143=B435,0,IF('III. INPUT-Baseline'!$C$143="Yes",0,(F435-H435))))))</f>
        <v>0</v>
      </c>
      <c r="H436" s="158" t="e">
        <f t="shared" si="114"/>
        <v>#N/A</v>
      </c>
      <c r="I436" s="618">
        <f>IF('III. INPUT-Baseline'!D42=0,0,(H436*'III. INPUT-Baseline'!$C$120*0.68*0.001)*(('III. INPUT-Baseline'!G42-'III. INPUT-Baseline'!H42)/'III. INPUT-Baseline'!E42))</f>
        <v>0</v>
      </c>
      <c r="J436" s="158">
        <f t="shared" si="113"/>
        <v>0</v>
      </c>
    </row>
    <row r="437" spans="2:17" s="3" customFormat="1" ht="13" x14ac:dyDescent="0.3">
      <c r="B437" s="556" t="str">
        <f>'III. INPUT-Baseline'!$B$43</f>
        <v>-</v>
      </c>
      <c r="C437" s="594" t="e">
        <f>$C$30</f>
        <v>#N/A</v>
      </c>
      <c r="D437" s="151">
        <f>MIN(0.95, MAX(0.104,EXP(15175*(('III. INPUT-Baseline'!$C$43+273)-303.16)/(1.987*('III. INPUT-Baseline'!$C$43+273)*303.16))))</f>
        <v>0.104</v>
      </c>
      <c r="E437" s="366">
        <f t="shared" si="112"/>
        <v>0</v>
      </c>
      <c r="F437" s="158" t="e">
        <f>(E437*'III. INPUT-Baseline'!L81*'III. INPUT-Baseline'!$L$166*C437*0.8)+G437</f>
        <v>#N/A</v>
      </c>
      <c r="G437" s="593">
        <f>IF('III. INPUT-Baseline'!$I43=TRUE,0,IF('III. INPUT-Baseline'!$E$143=B436,0,IF('III. INPUT-Baseline'!$F$143=B436,0,IF('III. INPUT-Baseline'!$G$143=B436,0,IF('III. INPUT-Baseline'!$C$143="Yes",0,(F436-H436))))))</f>
        <v>0</v>
      </c>
      <c r="H437" s="158" t="e">
        <f t="shared" si="114"/>
        <v>#N/A</v>
      </c>
      <c r="I437" s="618">
        <f>IF('III. INPUT-Baseline'!D43=0,0,(H437*'III. INPUT-Baseline'!$C$120*0.68*0.001)*(('III. INPUT-Baseline'!G43-'III. INPUT-Baseline'!H43)/'III. INPUT-Baseline'!E43))</f>
        <v>0</v>
      </c>
      <c r="J437" s="158">
        <f t="shared" si="113"/>
        <v>0</v>
      </c>
      <c r="K437" s="153"/>
      <c r="L437" s="153"/>
      <c r="M437" s="154"/>
      <c r="N437" s="154"/>
      <c r="O437" s="4"/>
      <c r="Q437" s="153"/>
    </row>
    <row r="438" spans="2:17" x14ac:dyDescent="0.25">
      <c r="B438" s="556" t="str">
        <f>'III. INPUT-Baseline'!$B$44</f>
        <v>-</v>
      </c>
      <c r="C438" s="594" t="e">
        <f>$C$31</f>
        <v>#N/A</v>
      </c>
      <c r="D438" s="151">
        <f>MIN(0.95, MAX(0.104,EXP(15175*(('III. INPUT-Baseline'!$C$44+273)-303.16)/(1.987*('III. INPUT-Baseline'!$C$44+273)*303.16))))</f>
        <v>0.104</v>
      </c>
      <c r="E438" s="366">
        <f t="shared" si="112"/>
        <v>0</v>
      </c>
      <c r="F438" s="158" t="e">
        <f>(E438*'III. INPUT-Baseline'!L82*'III. INPUT-Baseline'!$L$166*C438*0.8)+G438</f>
        <v>#N/A</v>
      </c>
      <c r="G438" s="593">
        <f>IF('III. INPUT-Baseline'!$I44=TRUE,0,IF('III. INPUT-Baseline'!$E$143=B437,0,IF('III. INPUT-Baseline'!$F$143=B437,0,IF('III. INPUT-Baseline'!$G$143=B437,0,IF('III. INPUT-Baseline'!$C$143="Yes",0,(F437-H437))))))</f>
        <v>0</v>
      </c>
      <c r="H438" s="158" t="e">
        <f t="shared" si="114"/>
        <v>#N/A</v>
      </c>
      <c r="I438" s="618">
        <f>IF('III. INPUT-Baseline'!D44=0,0,(H438*'III. INPUT-Baseline'!$C$120*0.68*0.001)*(('III. INPUT-Baseline'!G44-'III. INPUT-Baseline'!H44)/'III. INPUT-Baseline'!E44))</f>
        <v>0</v>
      </c>
      <c r="J438" s="158">
        <f t="shared" si="113"/>
        <v>0</v>
      </c>
      <c r="K438" s="94"/>
      <c r="L438" s="94"/>
      <c r="M438" s="94"/>
      <c r="N438" s="156"/>
      <c r="O438" s="94"/>
      <c r="P438" s="156"/>
      <c r="Q438" s="156"/>
    </row>
    <row r="439" spans="2:17" s="3" customFormat="1" ht="13" x14ac:dyDescent="0.3">
      <c r="B439" s="556" t="str">
        <f>'III. INPUT-Baseline'!$B$45</f>
        <v>-</v>
      </c>
      <c r="C439" s="594" t="e">
        <f>$C$32</f>
        <v>#N/A</v>
      </c>
      <c r="D439" s="151">
        <f>MIN(0.95, MAX(0.104,EXP(15175*(('III. INPUT-Baseline'!$C$45+273)-303.16)/(1.987*('III. INPUT-Baseline'!$C$45+273)*303.16))))</f>
        <v>0.104</v>
      </c>
      <c r="E439" s="366">
        <f t="shared" si="112"/>
        <v>0</v>
      </c>
      <c r="F439" s="158" t="e">
        <f>(E439*'III. INPUT-Baseline'!L83*'III. INPUT-Baseline'!$L$166*C439*0.8)+G439</f>
        <v>#N/A</v>
      </c>
      <c r="G439" s="593">
        <f>IF('III. INPUT-Baseline'!$I45=TRUE,0,IF('III. INPUT-Baseline'!$E$143=B438,0,IF('III. INPUT-Baseline'!$F$143=B438,0,IF('III. INPUT-Baseline'!$G$143=B438,0,IF('III. INPUT-Baseline'!$C$143="Yes",0,(F438-H438))))))</f>
        <v>0</v>
      </c>
      <c r="H439" s="158" t="e">
        <f t="shared" si="114"/>
        <v>#N/A</v>
      </c>
      <c r="I439" s="618">
        <f>IF('III. INPUT-Baseline'!D45=0,0,(H439*'III. INPUT-Baseline'!$C$120*0.68*0.001)*(('III. INPUT-Baseline'!G45-'III. INPUT-Baseline'!H45)/'III. INPUT-Baseline'!E45))</f>
        <v>0</v>
      </c>
      <c r="J439" s="158">
        <f t="shared" si="113"/>
        <v>0</v>
      </c>
      <c r="K439" s="4"/>
      <c r="L439" s="4"/>
      <c r="M439" s="4"/>
      <c r="O439" s="4"/>
    </row>
    <row r="440" spans="2:17" ht="13" x14ac:dyDescent="0.3">
      <c r="B440" s="556" t="str">
        <f>'III. INPUT-Baseline'!$B$46</f>
        <v>-</v>
      </c>
      <c r="C440" s="594" t="e">
        <f>$C$33</f>
        <v>#N/A</v>
      </c>
      <c r="D440" s="151">
        <f>MIN(0.95, MAX(0.104,EXP(15175*(('III. INPUT-Baseline'!$C$46+273)-303.16)/(1.987*('III. INPUT-Baseline'!$C$46+273)*303.16))))</f>
        <v>0.104</v>
      </c>
      <c r="E440" s="366">
        <f t="shared" si="112"/>
        <v>0</v>
      </c>
      <c r="F440" s="158" t="e">
        <f>(E440*'III. INPUT-Baseline'!L84*'III. INPUT-Baseline'!$L$166*C440*0.8)+G440</f>
        <v>#N/A</v>
      </c>
      <c r="G440" s="593">
        <f>IF('III. INPUT-Baseline'!$I46=TRUE,0,IF('III. INPUT-Baseline'!$E$143=B439,0,IF('III. INPUT-Baseline'!$F$143=B439,0,IF('III. INPUT-Baseline'!$G$143=B439,0,IF('III. INPUT-Baseline'!$C$143="Yes",0,(F439-H439))))))</f>
        <v>0</v>
      </c>
      <c r="H440" s="158" t="e">
        <f t="shared" si="114"/>
        <v>#N/A</v>
      </c>
      <c r="I440" s="618">
        <f>IF('III. INPUT-Baseline'!D46=0,0,(H440*'III. INPUT-Baseline'!$C$120*0.68*0.001)*(('III. INPUT-Baseline'!G46-'III. INPUT-Baseline'!H46)/'III. INPUT-Baseline'!E46))</f>
        <v>0</v>
      </c>
      <c r="J440" s="158">
        <f t="shared" si="113"/>
        <v>0</v>
      </c>
      <c r="K440" s="4"/>
      <c r="L440" s="4"/>
      <c r="M440" s="4"/>
      <c r="O440" s="49"/>
    </row>
    <row r="441" spans="2:17" ht="13" x14ac:dyDescent="0.3">
      <c r="B441" s="609" t="str">
        <f>'III. INPUT-Baseline'!$B$47</f>
        <v>-</v>
      </c>
      <c r="C441" s="594" t="e">
        <f>$C$34</f>
        <v>#N/A</v>
      </c>
      <c r="D441" s="151">
        <f>MIN(0.95, MAX(0.104,EXP(15175*(('III. INPUT-Baseline'!$C$47+273)-303.16)/(1.987*('III. INPUT-Baseline'!$C$47+273)*303.16))))</f>
        <v>0.104</v>
      </c>
      <c r="E441" s="611">
        <f t="shared" si="112"/>
        <v>0</v>
      </c>
      <c r="F441" s="610" t="e">
        <f>(E441*'III. INPUT-Baseline'!L85*'III. INPUT-Baseline'!$L$166*C441*0.8)+G441</f>
        <v>#N/A</v>
      </c>
      <c r="G441" s="612">
        <f>IF('III. INPUT-Baseline'!$I47=TRUE,0,IF('III. INPUT-Baseline'!$E$143=B440,0,IF('III. INPUT-Baseline'!$F$143=B440,0,IF('III. INPUT-Baseline'!$G$143=B440,0,IF('III. INPUT-Baseline'!$C$143="Yes",0,(F440-H440))))))</f>
        <v>0</v>
      </c>
      <c r="H441" s="610" t="e">
        <f t="shared" ref="H441" si="115">F441*D441</f>
        <v>#N/A</v>
      </c>
      <c r="I441" s="618">
        <f>IF('III. INPUT-Baseline'!D47=0,0,(H441*'III. INPUT-Baseline'!$C$120*0.68*0.001)*(('III. INPUT-Baseline'!G47-'III. INPUT-Baseline'!H47)/'III. INPUT-Baseline'!E47))</f>
        <v>0</v>
      </c>
      <c r="J441" s="610">
        <f t="shared" ref="J441" si="116">I441*gwp_ch4</f>
        <v>0</v>
      </c>
      <c r="K441" s="4"/>
      <c r="L441" s="4"/>
      <c r="M441" s="4"/>
      <c r="O441" s="49"/>
    </row>
    <row r="442" spans="2:17" ht="13" x14ac:dyDescent="0.3">
      <c r="B442" s="596" t="s">
        <v>432</v>
      </c>
      <c r="C442" s="613"/>
      <c r="D442" s="598"/>
      <c r="E442" s="598"/>
      <c r="F442" s="614"/>
      <c r="G442" s="615"/>
      <c r="H442" s="605" t="e">
        <f>SUM(H429:H441)</f>
        <v>#N/A</v>
      </c>
      <c r="I442" s="605">
        <f t="shared" ref="I442:J442" si="117">SUM(I429:I441)</f>
        <v>0</v>
      </c>
      <c r="J442" s="605">
        <f t="shared" si="117"/>
        <v>0</v>
      </c>
      <c r="K442" s="4"/>
      <c r="L442" s="4"/>
      <c r="M442" s="4"/>
      <c r="O442" s="49"/>
    </row>
    <row r="443" spans="2:17" ht="13" x14ac:dyDescent="0.3">
      <c r="B443" s="3"/>
      <c r="C443" s="3"/>
      <c r="D443" s="60"/>
      <c r="E443" s="60"/>
      <c r="F443" s="61"/>
      <c r="G443" s="61"/>
      <c r="H443" s="61"/>
      <c r="I443" s="61"/>
      <c r="J443" s="61"/>
    </row>
    <row r="444" spans="2:17" x14ac:dyDescent="0.25">
      <c r="E444" s="656" t="s">
        <v>241</v>
      </c>
      <c r="F444" s="675"/>
      <c r="G444" s="675"/>
      <c r="H444" s="675"/>
      <c r="I444" s="675"/>
      <c r="J444" s="676"/>
    </row>
    <row r="445" spans="2:17" x14ac:dyDescent="0.25">
      <c r="E445" s="680"/>
      <c r="F445" s="681"/>
      <c r="G445" s="681"/>
      <c r="H445" s="681"/>
      <c r="I445" s="681"/>
      <c r="J445" s="682"/>
    </row>
    <row r="448" spans="2:17" ht="17.5" x14ac:dyDescent="0.25">
      <c r="B448" s="141" t="s">
        <v>435</v>
      </c>
    </row>
    <row r="449" spans="2:10" ht="16" x14ac:dyDescent="0.4">
      <c r="B449" s="591" t="s">
        <v>436</v>
      </c>
      <c r="C449" s="621">
        <f>I442+I421+I399+I378+I356+I334+I313+I292+I269+I248+I227+I205+I185+I164+I143+I122+I101+I79+I57+I35</f>
        <v>0</v>
      </c>
      <c r="D449" s="61" t="s">
        <v>127</v>
      </c>
      <c r="E449" s="11"/>
      <c r="F449" s="11"/>
      <c r="G449" s="11"/>
    </row>
    <row r="450" spans="2:10" ht="16" x14ac:dyDescent="0.4">
      <c r="B450" s="622" t="s">
        <v>437</v>
      </c>
      <c r="C450" s="623">
        <f>J442+J421+J399+J378+J356+J334+J313+J292+J269+J248+J227+J205+J185+J164+J143+J122+J101+J79+J57+J35</f>
        <v>0</v>
      </c>
      <c r="D450" s="70" t="s">
        <v>105</v>
      </c>
      <c r="E450" s="11"/>
      <c r="F450" s="11"/>
      <c r="G450" s="11"/>
    </row>
    <row r="452" spans="2:10" x14ac:dyDescent="0.25">
      <c r="B452" s="674" t="s">
        <v>241</v>
      </c>
      <c r="C452" s="675"/>
      <c r="D452" s="675"/>
      <c r="E452" s="675"/>
      <c r="F452" s="675"/>
      <c r="G452" s="675"/>
      <c r="H452" s="675"/>
      <c r="I452" s="675"/>
      <c r="J452" s="676"/>
    </row>
    <row r="453" spans="2:10" x14ac:dyDescent="0.25">
      <c r="B453" s="677"/>
      <c r="C453" s="678"/>
      <c r="D453" s="678"/>
      <c r="E453" s="678"/>
      <c r="F453" s="678"/>
      <c r="G453" s="678"/>
      <c r="H453" s="678"/>
      <c r="I453" s="678"/>
      <c r="J453" s="679"/>
    </row>
    <row r="454" spans="2:10" x14ac:dyDescent="0.25">
      <c r="B454" s="677"/>
      <c r="C454" s="678"/>
      <c r="D454" s="678"/>
      <c r="E454" s="678"/>
      <c r="F454" s="678"/>
      <c r="G454" s="678"/>
      <c r="H454" s="678"/>
      <c r="I454" s="678"/>
      <c r="J454" s="679"/>
    </row>
    <row r="455" spans="2:10" x14ac:dyDescent="0.25">
      <c r="B455" s="677"/>
      <c r="C455" s="678"/>
      <c r="D455" s="678"/>
      <c r="E455" s="678"/>
      <c r="F455" s="678"/>
      <c r="G455" s="678"/>
      <c r="H455" s="678"/>
      <c r="I455" s="678"/>
      <c r="J455" s="679"/>
    </row>
    <row r="456" spans="2:10" x14ac:dyDescent="0.25">
      <c r="B456" s="677"/>
      <c r="C456" s="678"/>
      <c r="D456" s="678"/>
      <c r="E456" s="678"/>
      <c r="F456" s="678"/>
      <c r="G456" s="678"/>
      <c r="H456" s="678"/>
      <c r="I456" s="678"/>
      <c r="J456" s="679"/>
    </row>
    <row r="457" spans="2:10" x14ac:dyDescent="0.25">
      <c r="B457" s="677"/>
      <c r="C457" s="678"/>
      <c r="D457" s="678"/>
      <c r="E457" s="678"/>
      <c r="F457" s="678"/>
      <c r="G457" s="678"/>
      <c r="H457" s="678"/>
      <c r="I457" s="678"/>
      <c r="J457" s="679"/>
    </row>
    <row r="458" spans="2:10" x14ac:dyDescent="0.25">
      <c r="B458" s="680"/>
      <c r="C458" s="681"/>
      <c r="D458" s="681"/>
      <c r="E458" s="681"/>
      <c r="F458" s="681"/>
      <c r="G458" s="681"/>
      <c r="H458" s="681"/>
      <c r="I458" s="681"/>
      <c r="J458" s="682"/>
    </row>
  </sheetData>
  <sheetProtection algorithmName="SHA-512" hashValue="Y8xmDTkCE2IbtOfHHojcNzY/WTwBCmQmtjzEmKsb5MHz0OXLKIYB2xdaELGmnZ7O1BCAEstTwIZb58yd9DuOiw==" saltValue="iVc052omUr4zreKI737ueQ==" spinCount="100000" sheet="1" objects="1" scenarios="1"/>
  <customSheetViews>
    <customSheetView guid="{A6F5A5FB-2E6E-47D3-842C-0D3D06DB341A}" scale="60" hiddenColumns="1">
      <selection activeCell="B2" sqref="B2"/>
      <rowBreaks count="4" manualBreakCount="4">
        <brk id="51" min="1" max="8" man="1"/>
        <brk id="120" min="1" max="8" man="1"/>
        <brk id="189" min="1" max="8" man="1"/>
        <brk id="332" min="1" max="8" man="1"/>
      </rowBreaks>
      <pageMargins left="0" right="0" top="0" bottom="0" header="0" footer="0"/>
      <printOptions horizontalCentered="1" verticalCentered="1"/>
      <pageSetup scale="48" fitToHeight="6" orientation="landscape" r:id="rId1"/>
      <headerFooter alignWithMargins="0"/>
    </customSheetView>
  </customSheetViews>
  <mergeCells count="28">
    <mergeCell ref="C5:G5"/>
    <mergeCell ref="E336:J338"/>
    <mergeCell ref="E250:J252"/>
    <mergeCell ref="E271:J273"/>
    <mergeCell ref="E37:J39"/>
    <mergeCell ref="E59:J61"/>
    <mergeCell ref="E81:J83"/>
    <mergeCell ref="E103:J105"/>
    <mergeCell ref="E124:J126"/>
    <mergeCell ref="E145:J147"/>
    <mergeCell ref="E187:J189"/>
    <mergeCell ref="B16:J16"/>
    <mergeCell ref="C9:G9"/>
    <mergeCell ref="C10:G10"/>
    <mergeCell ref="C7:G7"/>
    <mergeCell ref="C8:G8"/>
    <mergeCell ref="E166:J168"/>
    <mergeCell ref="C11:G11"/>
    <mergeCell ref="B452:J458"/>
    <mergeCell ref="E380:J382"/>
    <mergeCell ref="E402:J404"/>
    <mergeCell ref="E423:J425"/>
    <mergeCell ref="E444:J445"/>
    <mergeCell ref="E358:J360"/>
    <mergeCell ref="E207:J209"/>
    <mergeCell ref="E229:J231"/>
    <mergeCell ref="E294:J296"/>
    <mergeCell ref="E315:J317"/>
  </mergeCells>
  <phoneticPr fontId="2" type="noConversion"/>
  <dataValidations count="1">
    <dataValidation allowBlank="1" showInputMessage="1" showErrorMessage="1" prompt="If this is the first year of the project, enter zero, otherwise enter the solids carried over from December of the previous year" sqref="G429 G386 G343 G300 G256 G214 G172 G130 G88 G44 G22 G66 G109 G151 G192 G235 G279 G321 G365 G408" xr:uid="{00000000-0002-0000-0400-000000000000}"/>
  </dataValidations>
  <printOptions horizontalCentered="1" verticalCentered="1"/>
  <pageMargins left="0.25" right="0.25" top="0.25" bottom="0.25" header="0.25" footer="0.25"/>
  <pageSetup scale="48" fitToHeight="6" orientation="landscape" r:id="rId2"/>
  <headerFooter alignWithMargins="0"/>
  <rowBreaks count="4" manualBreakCount="4">
    <brk id="50" min="1" max="8" man="1"/>
    <brk id="111" min="1" max="8" man="1"/>
    <brk id="171" min="1" max="8" man="1"/>
    <brk id="296" min="1"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N179"/>
  <sheetViews>
    <sheetView showGridLines="0" zoomScale="80" zoomScaleNormal="80" zoomScaleSheetLayoutView="75" workbookViewId="0">
      <selection activeCell="H16" sqref="H16"/>
    </sheetView>
  </sheetViews>
  <sheetFormatPr defaultColWidth="9.1796875" defaultRowHeight="13" x14ac:dyDescent="0.3"/>
  <cols>
    <col min="1" max="1" width="3.81640625" style="11" customWidth="1"/>
    <col min="2" max="2" width="25" style="4" customWidth="1"/>
    <col min="3" max="3" width="14.81640625" style="11" customWidth="1"/>
    <col min="4" max="4" width="17.453125" style="11" customWidth="1"/>
    <col min="5" max="5" width="21.453125" style="11" bestFit="1" customWidth="1"/>
    <col min="6" max="6" width="11.453125" style="11" bestFit="1" customWidth="1"/>
    <col min="7" max="7" width="19.1796875" style="11" bestFit="1" customWidth="1"/>
    <col min="8" max="8" width="17.1796875" style="11" bestFit="1" customWidth="1"/>
    <col min="9" max="9" width="19.81640625" style="39" bestFit="1" customWidth="1"/>
    <col min="10" max="10" width="24.81640625" style="39" bestFit="1" customWidth="1"/>
    <col min="11" max="11" width="20.453125" style="11" bestFit="1" customWidth="1"/>
    <col min="12" max="16384" width="9.1796875" style="11"/>
  </cols>
  <sheetData>
    <row r="1" spans="2:14" x14ac:dyDescent="0.3">
      <c r="B1" s="12" t="str">
        <f>version</f>
        <v>COPtool Beta Version 2014k - September 2018</v>
      </c>
    </row>
    <row r="2" spans="2:14" ht="14.25" customHeight="1" x14ac:dyDescent="0.3">
      <c r="B2" s="12" t="s">
        <v>81</v>
      </c>
    </row>
    <row r="3" spans="2:14" ht="14.25" customHeight="1" x14ac:dyDescent="0.3">
      <c r="B3" s="12"/>
    </row>
    <row r="4" spans="2:14" ht="18" x14ac:dyDescent="0.4">
      <c r="B4" s="180" t="s">
        <v>438</v>
      </c>
    </row>
    <row r="6" spans="2:14" x14ac:dyDescent="0.3">
      <c r="B6" s="3" t="s">
        <v>83</v>
      </c>
      <c r="C6" s="24"/>
      <c r="D6" s="25"/>
      <c r="E6" s="4"/>
      <c r="F6" s="49"/>
      <c r="G6" s="49"/>
      <c r="H6" s="49"/>
      <c r="I6" s="134"/>
    </row>
    <row r="7" spans="2:14" x14ac:dyDescent="0.3">
      <c r="B7" s="92" t="s">
        <v>84</v>
      </c>
      <c r="C7" s="93" t="s">
        <v>138</v>
      </c>
      <c r="D7" s="167"/>
      <c r="E7" s="168"/>
      <c r="F7" s="49"/>
      <c r="G7" s="55"/>
      <c r="H7" s="54"/>
      <c r="I7" s="54"/>
      <c r="J7" s="54"/>
    </row>
    <row r="8" spans="2:14" x14ac:dyDescent="0.3">
      <c r="B8" s="169" t="s">
        <v>86</v>
      </c>
      <c r="C8" s="96" t="s">
        <v>87</v>
      </c>
      <c r="D8" s="170"/>
      <c r="E8" s="171"/>
      <c r="F8" s="49"/>
      <c r="G8" s="54"/>
      <c r="H8" s="54"/>
      <c r="I8" s="54"/>
      <c r="J8" s="54"/>
    </row>
    <row r="9" spans="2:14" x14ac:dyDescent="0.3">
      <c r="B9" s="322" t="s">
        <v>143</v>
      </c>
      <c r="C9" s="318" t="s">
        <v>144</v>
      </c>
      <c r="D9" s="323"/>
      <c r="E9" s="324"/>
      <c r="F9" s="49"/>
      <c r="G9" s="54"/>
      <c r="H9" s="54"/>
      <c r="I9" s="54"/>
      <c r="J9" s="54"/>
    </row>
    <row r="10" spans="2:14" x14ac:dyDescent="0.3">
      <c r="C10" s="24"/>
      <c r="D10" s="25"/>
      <c r="E10" s="4"/>
      <c r="F10" s="49"/>
      <c r="G10" s="54"/>
      <c r="H10" s="54"/>
      <c r="I10" s="54"/>
      <c r="J10" s="54"/>
    </row>
    <row r="11" spans="2:14" ht="15.5" x14ac:dyDescent="0.35">
      <c r="B11" s="86" t="s">
        <v>439</v>
      </c>
      <c r="C11" s="24"/>
      <c r="D11" s="24"/>
      <c r="E11" s="24"/>
      <c r="F11" s="24"/>
      <c r="G11" s="24"/>
      <c r="H11" s="24"/>
      <c r="I11" s="67"/>
      <c r="J11" s="67"/>
    </row>
    <row r="12" spans="2:14" ht="12.5" x14ac:dyDescent="0.25">
      <c r="B12" s="724" t="s">
        <v>440</v>
      </c>
      <c r="C12" s="724"/>
      <c r="D12" s="724"/>
      <c r="E12" s="724"/>
      <c r="F12" s="724"/>
      <c r="G12" s="724"/>
      <c r="H12" s="724"/>
      <c r="I12" s="724"/>
      <c r="J12" s="724"/>
      <c r="N12" s="25"/>
    </row>
    <row r="13" spans="2:14" ht="19.5" customHeight="1" x14ac:dyDescent="0.3">
      <c r="B13" s="172"/>
      <c r="C13" s="173"/>
      <c r="D13" s="173"/>
      <c r="E13" s="173"/>
      <c r="F13" s="173"/>
      <c r="G13" s="173"/>
      <c r="H13" s="173"/>
      <c r="I13" s="174"/>
      <c r="J13" s="174"/>
      <c r="N13" s="25"/>
    </row>
    <row r="14" spans="2:14" x14ac:dyDescent="0.3">
      <c r="B14" s="649">
        <f>'III. INPUT-Baseline'!C125</f>
        <v>0</v>
      </c>
      <c r="H14" s="39"/>
      <c r="J14" s="11"/>
    </row>
    <row r="15" spans="2:14" s="4" customFormat="1" ht="16" x14ac:dyDescent="0.4">
      <c r="B15" s="136" t="s">
        <v>441</v>
      </c>
      <c r="C15" s="136" t="s">
        <v>442</v>
      </c>
      <c r="D15" s="136" t="s">
        <v>443</v>
      </c>
      <c r="E15" s="136" t="s">
        <v>444</v>
      </c>
      <c r="F15" s="136" t="s">
        <v>445</v>
      </c>
      <c r="G15" s="136" t="s">
        <v>446</v>
      </c>
      <c r="H15" s="591" t="s">
        <v>447</v>
      </c>
      <c r="I15" s="591" t="s">
        <v>448</v>
      </c>
    </row>
    <row r="16" spans="2:14" x14ac:dyDescent="0.3">
      <c r="B16" s="648">
        <f>'III. INPUT-Baseline'!B111</f>
        <v>0</v>
      </c>
      <c r="C16" s="177">
        <f>'III. INPUT-Baseline'!$C$86</f>
        <v>0</v>
      </c>
      <c r="D16" s="177">
        <f>'III. INPUT-Baseline'!C169</f>
        <v>0</v>
      </c>
      <c r="E16" s="178">
        <f>'V. Baseline Anaerobic CH4'!$C$19</f>
        <v>0</v>
      </c>
      <c r="F16" s="177">
        <f>'III. INPUT-Baseline'!$C$149</f>
        <v>0</v>
      </c>
      <c r="G16" s="177">
        <f>'III. INPUT-Baseline'!$C$111</f>
        <v>0</v>
      </c>
      <c r="H16" s="158">
        <f>C16*D16*E16*('III. INPUT-Baseline'!$G$48-'III. INPUT-Baseline'!$H$48)*F16*G16*0.68*0.001</f>
        <v>0</v>
      </c>
      <c r="I16" s="158">
        <f t="shared" ref="I16:I25" si="0">H16*gwp_ch4</f>
        <v>0</v>
      </c>
      <c r="J16" s="11"/>
    </row>
    <row r="17" spans="2:10" x14ac:dyDescent="0.3">
      <c r="B17" s="648">
        <f>'III. INPUT-Baseline'!B112</f>
        <v>0</v>
      </c>
      <c r="C17" s="177">
        <f>'III. INPUT-Baseline'!$D$86</f>
        <v>0</v>
      </c>
      <c r="D17" s="177">
        <f>'III. INPUT-Baseline'!D169</f>
        <v>0</v>
      </c>
      <c r="E17" s="178">
        <f>'V. Baseline Anaerobic CH4'!$C$63</f>
        <v>0</v>
      </c>
      <c r="F17" s="177">
        <f>'III. INPUT-Baseline'!$C$149</f>
        <v>0</v>
      </c>
      <c r="G17" s="177">
        <f>'III. INPUT-Baseline'!$C$112</f>
        <v>0</v>
      </c>
      <c r="H17" s="158">
        <f>C17*D17*E17*('III. INPUT-Baseline'!$G$48-'III. INPUT-Baseline'!$H$48)*F17*G17*0.68*0.001</f>
        <v>0</v>
      </c>
      <c r="I17" s="158">
        <f t="shared" si="0"/>
        <v>0</v>
      </c>
      <c r="J17" s="11"/>
    </row>
    <row r="18" spans="2:10" x14ac:dyDescent="0.3">
      <c r="B18" s="648">
        <f>'III. INPUT-Baseline'!B113</f>
        <v>0</v>
      </c>
      <c r="C18" s="177">
        <f>'III. INPUT-Baseline'!$E$86</f>
        <v>0</v>
      </c>
      <c r="D18" s="177">
        <f>'III. INPUT-Baseline'!E169</f>
        <v>0</v>
      </c>
      <c r="E18" s="178">
        <f>'III. INPUT-Baseline'!$D$99</f>
        <v>0</v>
      </c>
      <c r="F18" s="177">
        <f>'III. INPUT-Baseline'!$C$149</f>
        <v>0</v>
      </c>
      <c r="G18" s="177">
        <f>'III. INPUT-Baseline'!$C$113</f>
        <v>0</v>
      </c>
      <c r="H18" s="158">
        <f>C18*D18*E18*('III. INPUT-Baseline'!$G$48-'III. INPUT-Baseline'!$H$48)*F18*G18*0.68*0.001</f>
        <v>0</v>
      </c>
      <c r="I18" s="158">
        <f t="shared" si="0"/>
        <v>0</v>
      </c>
      <c r="J18" s="11"/>
    </row>
    <row r="19" spans="2:10" x14ac:dyDescent="0.3">
      <c r="B19" s="648">
        <f>'III. INPUT-Baseline'!B114</f>
        <v>0</v>
      </c>
      <c r="C19" s="177">
        <f>'III. INPUT-Baseline'!$F$86</f>
        <v>0</v>
      </c>
      <c r="D19" s="177">
        <f>'III. INPUT-Baseline'!F169</f>
        <v>0</v>
      </c>
      <c r="E19" s="178">
        <f>'III. INPUT-Baseline'!$D$100</f>
        <v>0</v>
      </c>
      <c r="F19" s="177">
        <f>'III. INPUT-Baseline'!$C$149</f>
        <v>0</v>
      </c>
      <c r="G19" s="177">
        <f>'III. INPUT-Baseline'!$C$114</f>
        <v>0</v>
      </c>
      <c r="H19" s="158">
        <f>C19*D19*E19*('III. INPUT-Baseline'!$G$48-'III. INPUT-Baseline'!$H$48)*F19*G19*0.68*0.001</f>
        <v>0</v>
      </c>
      <c r="I19" s="158">
        <f t="shared" si="0"/>
        <v>0</v>
      </c>
      <c r="J19" s="11"/>
    </row>
    <row r="20" spans="2:10" x14ac:dyDescent="0.3">
      <c r="B20" s="648">
        <f>'III. INPUT-Baseline'!B115</f>
        <v>0</v>
      </c>
      <c r="C20" s="177">
        <f>'III. INPUT-Baseline'!$G$86</f>
        <v>0</v>
      </c>
      <c r="D20" s="177">
        <f>'III. INPUT-Baseline'!G169</f>
        <v>0</v>
      </c>
      <c r="E20" s="178">
        <f>'III. INPUT-Baseline'!$D$101</f>
        <v>0</v>
      </c>
      <c r="F20" s="177">
        <f>'III. INPUT-Baseline'!$C$149</f>
        <v>0</v>
      </c>
      <c r="G20" s="177">
        <f>'III. INPUT-Baseline'!$C$115</f>
        <v>0</v>
      </c>
      <c r="H20" s="158">
        <f>C20*D20*E20*('III. INPUT-Baseline'!$G$48-'III. INPUT-Baseline'!$H$48)*F20*G20*0.68*0.001</f>
        <v>0</v>
      </c>
      <c r="I20" s="158">
        <f t="shared" si="0"/>
        <v>0</v>
      </c>
      <c r="J20" s="11"/>
    </row>
    <row r="21" spans="2:10" x14ac:dyDescent="0.3">
      <c r="B21" s="648">
        <f>'III. INPUT-Baseline'!B116</f>
        <v>0</v>
      </c>
      <c r="C21" s="177">
        <f>'III. INPUT-Baseline'!$H$86</f>
        <v>0</v>
      </c>
      <c r="D21" s="177">
        <f>'III. INPUT-Baseline'!H169</f>
        <v>0</v>
      </c>
      <c r="E21" s="178">
        <f>'III. INPUT-Baseline'!$D$102</f>
        <v>0</v>
      </c>
      <c r="F21" s="177">
        <f>'III. INPUT-Baseline'!$C$149</f>
        <v>0</v>
      </c>
      <c r="G21" s="177">
        <f>'III. INPUT-Baseline'!$C$116</f>
        <v>0</v>
      </c>
      <c r="H21" s="158">
        <f>C21*D21*E21*('III. INPUT-Baseline'!$G$48-'III. INPUT-Baseline'!$H$48)*F21*G21*0.68*0.001</f>
        <v>0</v>
      </c>
      <c r="I21" s="158">
        <f t="shared" si="0"/>
        <v>0</v>
      </c>
      <c r="J21" s="11"/>
    </row>
    <row r="22" spans="2:10" x14ac:dyDescent="0.3">
      <c r="B22" s="648">
        <f>'III. INPUT-Baseline'!B117</f>
        <v>0</v>
      </c>
      <c r="C22" s="177">
        <f>'III. INPUT-Baseline'!$I$86</f>
        <v>0</v>
      </c>
      <c r="D22" s="177">
        <f>'III. INPUT-Baseline'!I169</f>
        <v>0</v>
      </c>
      <c r="E22" s="178">
        <f>'III. INPUT-Baseline'!$D$103</f>
        <v>0</v>
      </c>
      <c r="F22" s="177">
        <f>'III. INPUT-Baseline'!$C$149</f>
        <v>0</v>
      </c>
      <c r="G22" s="177">
        <f>'III. INPUT-Baseline'!$C$117</f>
        <v>0</v>
      </c>
      <c r="H22" s="158">
        <f>C22*D22*E22*('III. INPUT-Baseline'!$G$48-'III. INPUT-Baseline'!$H$48)*F22*G22*0.68*0.001</f>
        <v>0</v>
      </c>
      <c r="I22" s="158">
        <f t="shared" si="0"/>
        <v>0</v>
      </c>
      <c r="J22" s="11"/>
    </row>
    <row r="23" spans="2:10" x14ac:dyDescent="0.3">
      <c r="B23" s="648">
        <f>'III. INPUT-Baseline'!B118</f>
        <v>0</v>
      </c>
      <c r="C23" s="177">
        <f>'III. INPUT-Baseline'!$J$86</f>
        <v>0</v>
      </c>
      <c r="D23" s="177">
        <f>'III. INPUT-Baseline'!J169</f>
        <v>0</v>
      </c>
      <c r="E23" s="178">
        <f>'III. INPUT-Baseline'!$D$104</f>
        <v>0</v>
      </c>
      <c r="F23" s="177">
        <f>'III. INPUT-Baseline'!$C$149</f>
        <v>0</v>
      </c>
      <c r="G23" s="177">
        <f>'III. INPUT-Baseline'!$C$118</f>
        <v>0</v>
      </c>
      <c r="H23" s="158">
        <f>C23*D23*E23*('III. INPUT-Baseline'!$G$48-'III. INPUT-Baseline'!$H$48)*F23*G23*0.68*0.001</f>
        <v>0</v>
      </c>
      <c r="I23" s="158">
        <f t="shared" si="0"/>
        <v>0</v>
      </c>
      <c r="J23" s="11"/>
    </row>
    <row r="24" spans="2:10" x14ac:dyDescent="0.3">
      <c r="B24" s="648">
        <f>'III. INPUT-Baseline'!B119</f>
        <v>0</v>
      </c>
      <c r="C24" s="177">
        <f>'III. INPUT-Baseline'!$K$86</f>
        <v>0</v>
      </c>
      <c r="D24" s="177">
        <f>'III. INPUT-Baseline'!K169</f>
        <v>0</v>
      </c>
      <c r="E24" s="178">
        <f>'III. INPUT-Baseline'!$D$105</f>
        <v>0</v>
      </c>
      <c r="F24" s="650">
        <f>'III. INPUT-Baseline'!$C$149</f>
        <v>0</v>
      </c>
      <c r="G24" s="177">
        <f>'III. INPUT-Baseline'!$C$119</f>
        <v>0</v>
      </c>
      <c r="H24" s="158">
        <f>C24*D24*E24*('III. INPUT-Baseline'!$G$48-'III. INPUT-Baseline'!$H$48)*F24*G24*0.68*0.001</f>
        <v>0</v>
      </c>
      <c r="I24" s="158">
        <f t="shared" si="0"/>
        <v>0</v>
      </c>
      <c r="J24" s="11"/>
    </row>
    <row r="25" spans="2:10" x14ac:dyDescent="0.3">
      <c r="B25" s="648">
        <f>'III. INPUT-Baseline'!B120</f>
        <v>0</v>
      </c>
      <c r="C25" s="177">
        <f>'III. INPUT-Baseline'!$L$86</f>
        <v>0</v>
      </c>
      <c r="D25" s="177">
        <f>'III. INPUT-Baseline'!L169</f>
        <v>0</v>
      </c>
      <c r="E25" s="178">
        <f>'III. INPUT-Baseline'!$D$106</f>
        <v>0</v>
      </c>
      <c r="F25" s="177">
        <f>'III. INPUT-Baseline'!$C$149</f>
        <v>0</v>
      </c>
      <c r="G25" s="177">
        <f>'III. INPUT-Baseline'!$C$120</f>
        <v>0</v>
      </c>
      <c r="H25" s="158">
        <f>C25*D25*E25*('III. INPUT-Baseline'!$G$48-'III. INPUT-Baseline'!$H$48)*F25*G25*0.68*0.001</f>
        <v>0</v>
      </c>
      <c r="I25" s="158">
        <f t="shared" si="0"/>
        <v>0</v>
      </c>
      <c r="J25" s="11"/>
    </row>
    <row r="26" spans="2:10" x14ac:dyDescent="0.3">
      <c r="B26" s="651" t="s">
        <v>449</v>
      </c>
      <c r="C26" s="652"/>
      <c r="D26" s="652"/>
      <c r="E26" s="652"/>
      <c r="F26" s="652"/>
      <c r="G26" s="653"/>
      <c r="H26" s="605">
        <f>SUM(H16:H25)</f>
        <v>0</v>
      </c>
      <c r="I26" s="605">
        <f>SUM(I16:I25)</f>
        <v>0</v>
      </c>
      <c r="J26" s="11"/>
    </row>
    <row r="27" spans="2:10" x14ac:dyDescent="0.3">
      <c r="H27" s="61"/>
      <c r="I27" s="61"/>
      <c r="J27" s="11"/>
    </row>
    <row r="28" spans="2:10" s="3" customFormat="1" x14ac:dyDescent="0.3">
      <c r="B28" s="649">
        <f>'III. INPUT-Baseline'!C126</f>
        <v>0</v>
      </c>
      <c r="H28" s="61"/>
      <c r="I28" s="61"/>
    </row>
    <row r="29" spans="2:10" s="4" customFormat="1" ht="16" x14ac:dyDescent="0.4">
      <c r="B29" s="136" t="s">
        <v>441</v>
      </c>
      <c r="C29" s="136" t="s">
        <v>442</v>
      </c>
      <c r="D29" s="136" t="s">
        <v>443</v>
      </c>
      <c r="E29" s="136" t="s">
        <v>444</v>
      </c>
      <c r="F29" s="136" t="s">
        <v>445</v>
      </c>
      <c r="G29" s="136" t="s">
        <v>446</v>
      </c>
      <c r="H29" s="591" t="s">
        <v>447</v>
      </c>
      <c r="I29" s="591" t="s">
        <v>448</v>
      </c>
    </row>
    <row r="30" spans="2:10" x14ac:dyDescent="0.3">
      <c r="B30" s="648">
        <f>'III. INPUT-Baseline'!B111</f>
        <v>0</v>
      </c>
      <c r="C30" s="177">
        <f>'III. INPUT-Baseline'!$C$86</f>
        <v>0</v>
      </c>
      <c r="D30" s="177">
        <f>'III. INPUT-Baseline'!C170</f>
        <v>0</v>
      </c>
      <c r="E30" s="178">
        <f>'V. Baseline Anaerobic CH4'!$C$19</f>
        <v>0</v>
      </c>
      <c r="F30" s="177">
        <f>'III. INPUT-Baseline'!$C$150</f>
        <v>0</v>
      </c>
      <c r="G30" s="177">
        <f>'III. INPUT-Baseline'!$C$111</f>
        <v>0</v>
      </c>
      <c r="H30" s="158">
        <f>C30*D30*E30*('III. INPUT-Baseline'!$G$48-'III. INPUT-Baseline'!$H$48)*F30*G30*0.68*0.001</f>
        <v>0</v>
      </c>
      <c r="I30" s="158">
        <f t="shared" ref="I30:I39" si="1">H30*gwp_ch4</f>
        <v>0</v>
      </c>
      <c r="J30" s="11"/>
    </row>
    <row r="31" spans="2:10" x14ac:dyDescent="0.3">
      <c r="B31" s="648">
        <f>'III. INPUT-Baseline'!B112</f>
        <v>0</v>
      </c>
      <c r="C31" s="177">
        <f>'III. INPUT-Baseline'!$D$86</f>
        <v>0</v>
      </c>
      <c r="D31" s="177">
        <f>'III. INPUT-Baseline'!D170</f>
        <v>0</v>
      </c>
      <c r="E31" s="178">
        <f>'V. Baseline Anaerobic CH4'!$C$63</f>
        <v>0</v>
      </c>
      <c r="F31" s="177">
        <f>'III. INPUT-Baseline'!$C$150</f>
        <v>0</v>
      </c>
      <c r="G31" s="177">
        <f>'III. INPUT-Baseline'!$C$112</f>
        <v>0</v>
      </c>
      <c r="H31" s="158">
        <f>C31*D31*E31*('III. INPUT-Baseline'!$G$48-'III. INPUT-Baseline'!$H$48)*F31*G31*0.68*0.001</f>
        <v>0</v>
      </c>
      <c r="I31" s="158">
        <f t="shared" si="1"/>
        <v>0</v>
      </c>
      <c r="J31" s="11"/>
    </row>
    <row r="32" spans="2:10" x14ac:dyDescent="0.3">
      <c r="B32" s="648">
        <f>'III. INPUT-Baseline'!B113</f>
        <v>0</v>
      </c>
      <c r="C32" s="177">
        <f>'III. INPUT-Baseline'!$E$86</f>
        <v>0</v>
      </c>
      <c r="D32" s="177">
        <f>'III. INPUT-Baseline'!E170</f>
        <v>0</v>
      </c>
      <c r="E32" s="178">
        <f>'III. INPUT-Baseline'!$D$99</f>
        <v>0</v>
      </c>
      <c r="F32" s="177">
        <f>'III. INPUT-Baseline'!$C$150</f>
        <v>0</v>
      </c>
      <c r="G32" s="177">
        <f>'III. INPUT-Baseline'!$C$113</f>
        <v>0</v>
      </c>
      <c r="H32" s="158">
        <f>C32*D32*E32*('III. INPUT-Baseline'!$G$48-'III. INPUT-Baseline'!$H$48)*F32*G32*0.68*0.001</f>
        <v>0</v>
      </c>
      <c r="I32" s="158">
        <f t="shared" si="1"/>
        <v>0</v>
      </c>
      <c r="J32" s="11"/>
    </row>
    <row r="33" spans="2:10" x14ac:dyDescent="0.3">
      <c r="B33" s="648">
        <f>'III. INPUT-Baseline'!B114</f>
        <v>0</v>
      </c>
      <c r="C33" s="177">
        <f>'III. INPUT-Baseline'!$F$86</f>
        <v>0</v>
      </c>
      <c r="D33" s="177">
        <f>'III. INPUT-Baseline'!F170</f>
        <v>0</v>
      </c>
      <c r="E33" s="178">
        <f>'III. INPUT-Baseline'!$D$100</f>
        <v>0</v>
      </c>
      <c r="F33" s="177">
        <f>'III. INPUT-Baseline'!$C$150</f>
        <v>0</v>
      </c>
      <c r="G33" s="177">
        <f>'III. INPUT-Baseline'!$C$114</f>
        <v>0</v>
      </c>
      <c r="H33" s="158">
        <f>C33*D33*E33*('III. INPUT-Baseline'!$G$48-'III. INPUT-Baseline'!$H$48)*F33*G33*0.68*0.001</f>
        <v>0</v>
      </c>
      <c r="I33" s="158">
        <f t="shared" si="1"/>
        <v>0</v>
      </c>
      <c r="J33" s="11"/>
    </row>
    <row r="34" spans="2:10" x14ac:dyDescent="0.3">
      <c r="B34" s="648">
        <f>'III. INPUT-Baseline'!B115</f>
        <v>0</v>
      </c>
      <c r="C34" s="177">
        <f>'III. INPUT-Baseline'!$G$86</f>
        <v>0</v>
      </c>
      <c r="D34" s="177">
        <f>'III. INPUT-Baseline'!G170</f>
        <v>0</v>
      </c>
      <c r="E34" s="178">
        <f>'III. INPUT-Baseline'!$D$101</f>
        <v>0</v>
      </c>
      <c r="F34" s="177">
        <f>'III. INPUT-Baseline'!$C$150</f>
        <v>0</v>
      </c>
      <c r="G34" s="177">
        <f>'III. INPUT-Baseline'!$C$115</f>
        <v>0</v>
      </c>
      <c r="H34" s="158">
        <f>C34*D34*E34*('III. INPUT-Baseline'!$G$48-'III. INPUT-Baseline'!$H$48)*F34*G34*0.68*0.001</f>
        <v>0</v>
      </c>
      <c r="I34" s="158">
        <f t="shared" si="1"/>
        <v>0</v>
      </c>
      <c r="J34" s="11"/>
    </row>
    <row r="35" spans="2:10" x14ac:dyDescent="0.3">
      <c r="B35" s="648">
        <f>'III. INPUT-Baseline'!B116</f>
        <v>0</v>
      </c>
      <c r="C35" s="177">
        <f>'III. INPUT-Baseline'!$H$86</f>
        <v>0</v>
      </c>
      <c r="D35" s="177">
        <f>'III. INPUT-Baseline'!H170</f>
        <v>0</v>
      </c>
      <c r="E35" s="178">
        <f>'III. INPUT-Baseline'!$D$102</f>
        <v>0</v>
      </c>
      <c r="F35" s="177">
        <f>'III. INPUT-Baseline'!$C$150</f>
        <v>0</v>
      </c>
      <c r="G35" s="177">
        <f>'III. INPUT-Baseline'!$C$116</f>
        <v>0</v>
      </c>
      <c r="H35" s="158">
        <f>C35*D35*E35*('III. INPUT-Baseline'!$G$48-'III. INPUT-Baseline'!$H$48)*F35*G35*0.68*0.001</f>
        <v>0</v>
      </c>
      <c r="I35" s="158">
        <f t="shared" si="1"/>
        <v>0</v>
      </c>
      <c r="J35" s="11"/>
    </row>
    <row r="36" spans="2:10" x14ac:dyDescent="0.3">
      <c r="B36" s="648">
        <f>'III. INPUT-Baseline'!B117</f>
        <v>0</v>
      </c>
      <c r="C36" s="177">
        <f>'III. INPUT-Baseline'!$I$86</f>
        <v>0</v>
      </c>
      <c r="D36" s="177">
        <f>'III. INPUT-Baseline'!I170</f>
        <v>0</v>
      </c>
      <c r="E36" s="178">
        <f>'III. INPUT-Baseline'!$D$103</f>
        <v>0</v>
      </c>
      <c r="F36" s="177">
        <f>'III. INPUT-Baseline'!$C$150</f>
        <v>0</v>
      </c>
      <c r="G36" s="177">
        <f>'III. INPUT-Baseline'!$C$117</f>
        <v>0</v>
      </c>
      <c r="H36" s="158">
        <f>C36*D36*E36*('III. INPUT-Baseline'!$G$48-'III. INPUT-Baseline'!$H$48)*F36*G36*0.68*0.001</f>
        <v>0</v>
      </c>
      <c r="I36" s="158">
        <f t="shared" si="1"/>
        <v>0</v>
      </c>
      <c r="J36" s="11"/>
    </row>
    <row r="37" spans="2:10" x14ac:dyDescent="0.3">
      <c r="B37" s="648">
        <f>'III. INPUT-Baseline'!B118</f>
        <v>0</v>
      </c>
      <c r="C37" s="177">
        <f>'III. INPUT-Baseline'!$J$86</f>
        <v>0</v>
      </c>
      <c r="D37" s="177">
        <f>'III. INPUT-Baseline'!J170</f>
        <v>0</v>
      </c>
      <c r="E37" s="178">
        <f>'III. INPUT-Baseline'!$D$104</f>
        <v>0</v>
      </c>
      <c r="F37" s="177">
        <f>'III. INPUT-Baseline'!$C$150</f>
        <v>0</v>
      </c>
      <c r="G37" s="177">
        <f>'III. INPUT-Baseline'!$C$118</f>
        <v>0</v>
      </c>
      <c r="H37" s="158">
        <f>C37*D37*E37*('III. INPUT-Baseline'!$G$48-'III. INPUT-Baseline'!$H$48)*F37*G37*0.68*0.001</f>
        <v>0</v>
      </c>
      <c r="I37" s="158">
        <f t="shared" si="1"/>
        <v>0</v>
      </c>
      <c r="J37" s="11"/>
    </row>
    <row r="38" spans="2:10" x14ac:dyDescent="0.3">
      <c r="B38" s="648">
        <f>'III. INPUT-Baseline'!B119</f>
        <v>0</v>
      </c>
      <c r="C38" s="177">
        <f>'III. INPUT-Baseline'!$K$86</f>
        <v>0</v>
      </c>
      <c r="D38" s="177">
        <f>'III. INPUT-Baseline'!K170</f>
        <v>0</v>
      </c>
      <c r="E38" s="178">
        <f>'III. INPUT-Baseline'!$D$105</f>
        <v>0</v>
      </c>
      <c r="F38" s="177">
        <f>'III. INPUT-Baseline'!$C$150</f>
        <v>0</v>
      </c>
      <c r="G38" s="177">
        <f>'III. INPUT-Baseline'!$C$119</f>
        <v>0</v>
      </c>
      <c r="H38" s="158">
        <f>C38*D38*E38*('III. INPUT-Baseline'!$G$48-'III. INPUT-Baseline'!$H$48)*F38*G38*0.68*0.001</f>
        <v>0</v>
      </c>
      <c r="I38" s="158">
        <f t="shared" si="1"/>
        <v>0</v>
      </c>
      <c r="J38" s="11"/>
    </row>
    <row r="39" spans="2:10" x14ac:dyDescent="0.3">
      <c r="B39" s="648">
        <f>'III. INPUT-Baseline'!B120</f>
        <v>0</v>
      </c>
      <c r="C39" s="177">
        <f>'III. INPUT-Baseline'!$L$86</f>
        <v>0</v>
      </c>
      <c r="D39" s="177">
        <f>'III. INPUT-Baseline'!L170</f>
        <v>0</v>
      </c>
      <c r="E39" s="178">
        <f>'III. INPUT-Baseline'!$D$106</f>
        <v>0</v>
      </c>
      <c r="F39" s="177">
        <f>'III. INPUT-Baseline'!$C$150</f>
        <v>0</v>
      </c>
      <c r="G39" s="177">
        <f>'III. INPUT-Baseline'!$C$120</f>
        <v>0</v>
      </c>
      <c r="H39" s="158">
        <f>C39*D39*E39*('III. INPUT-Baseline'!$G$48-'III. INPUT-Baseline'!$H$48)*F39*G39*0.68*0.001</f>
        <v>0</v>
      </c>
      <c r="I39" s="158">
        <f t="shared" si="1"/>
        <v>0</v>
      </c>
      <c r="J39" s="11"/>
    </row>
    <row r="40" spans="2:10" x14ac:dyDescent="0.3">
      <c r="B40" s="651" t="s">
        <v>449</v>
      </c>
      <c r="C40" s="652"/>
      <c r="D40" s="652"/>
      <c r="E40" s="652"/>
      <c r="F40" s="652"/>
      <c r="G40" s="653"/>
      <c r="H40" s="605">
        <f>SUM(H30:H39)</f>
        <v>0</v>
      </c>
      <c r="I40" s="605">
        <f>SUM(I30:I39)</f>
        <v>0</v>
      </c>
      <c r="J40" s="11"/>
    </row>
    <row r="41" spans="2:10" x14ac:dyDescent="0.3">
      <c r="H41" s="61"/>
      <c r="I41" s="61"/>
      <c r="J41" s="11"/>
    </row>
    <row r="42" spans="2:10" x14ac:dyDescent="0.3">
      <c r="B42" s="649">
        <f>'III. INPUT-Baseline'!C127</f>
        <v>0</v>
      </c>
      <c r="H42" s="39"/>
      <c r="J42" s="11"/>
    </row>
    <row r="43" spans="2:10" s="4" customFormat="1" ht="16" x14ac:dyDescent="0.4">
      <c r="B43" s="136" t="s">
        <v>441</v>
      </c>
      <c r="C43" s="136" t="s">
        <v>442</v>
      </c>
      <c r="D43" s="136" t="s">
        <v>443</v>
      </c>
      <c r="E43" s="136" t="s">
        <v>444</v>
      </c>
      <c r="F43" s="136" t="s">
        <v>445</v>
      </c>
      <c r="G43" s="136" t="s">
        <v>446</v>
      </c>
      <c r="H43" s="591" t="s">
        <v>447</v>
      </c>
      <c r="I43" s="591" t="s">
        <v>448</v>
      </c>
    </row>
    <row r="44" spans="2:10" x14ac:dyDescent="0.3">
      <c r="B44" s="648">
        <f>'III. INPUT-Baseline'!B111</f>
        <v>0</v>
      </c>
      <c r="C44" s="177">
        <f>'III. INPUT-Baseline'!$C$86</f>
        <v>0</v>
      </c>
      <c r="D44" s="177">
        <f>'III. INPUT-Baseline'!C171</f>
        <v>0</v>
      </c>
      <c r="E44" s="178">
        <f>'V. Baseline Anaerobic CH4'!$C$19</f>
        <v>0</v>
      </c>
      <c r="F44" s="177">
        <f>'III. INPUT-Baseline'!$C$151</f>
        <v>0</v>
      </c>
      <c r="G44" s="177">
        <f>'III. INPUT-Baseline'!$C$111</f>
        <v>0</v>
      </c>
      <c r="H44" s="158">
        <f>C44*D44*E44*('III. INPUT-Baseline'!$G$48-'III. INPUT-Baseline'!$H$48)*F44*G44*0.68*0.001</f>
        <v>0</v>
      </c>
      <c r="I44" s="158">
        <f t="shared" ref="I44:I53" si="2">H44*gwp_ch4</f>
        <v>0</v>
      </c>
      <c r="J44" s="11"/>
    </row>
    <row r="45" spans="2:10" x14ac:dyDescent="0.3">
      <c r="B45" s="648">
        <f>'III. INPUT-Baseline'!B112</f>
        <v>0</v>
      </c>
      <c r="C45" s="177">
        <f>'III. INPUT-Baseline'!$D$86</f>
        <v>0</v>
      </c>
      <c r="D45" s="177">
        <f>'III. INPUT-Baseline'!D171</f>
        <v>0</v>
      </c>
      <c r="E45" s="178">
        <f>'V. Baseline Anaerobic CH4'!$C$63</f>
        <v>0</v>
      </c>
      <c r="F45" s="177">
        <f>'III. INPUT-Baseline'!$C$151</f>
        <v>0</v>
      </c>
      <c r="G45" s="177">
        <f>'III. INPUT-Baseline'!$C$112</f>
        <v>0</v>
      </c>
      <c r="H45" s="158">
        <f>C45*D45*E45*('III. INPUT-Baseline'!$G$48-'III. INPUT-Baseline'!$H$48)*F45*G45*0.68*0.001</f>
        <v>0</v>
      </c>
      <c r="I45" s="158">
        <f t="shared" si="2"/>
        <v>0</v>
      </c>
      <c r="J45" s="11"/>
    </row>
    <row r="46" spans="2:10" x14ac:dyDescent="0.3">
      <c r="B46" s="648">
        <f>'III. INPUT-Baseline'!B113</f>
        <v>0</v>
      </c>
      <c r="C46" s="177">
        <f>'III. INPUT-Baseline'!$E$86</f>
        <v>0</v>
      </c>
      <c r="D46" s="177">
        <f>'III. INPUT-Baseline'!E171</f>
        <v>0</v>
      </c>
      <c r="E46" s="178">
        <f>'III. INPUT-Baseline'!$D$99</f>
        <v>0</v>
      </c>
      <c r="F46" s="177">
        <f>'III. INPUT-Baseline'!$C$151</f>
        <v>0</v>
      </c>
      <c r="G46" s="177">
        <f>'III. INPUT-Baseline'!$C$113</f>
        <v>0</v>
      </c>
      <c r="H46" s="158">
        <f>C46*D46*E46*('III. INPUT-Baseline'!$G$48-'III. INPUT-Baseline'!$H$48)*F46*G46*0.68*0.001</f>
        <v>0</v>
      </c>
      <c r="I46" s="158">
        <f t="shared" si="2"/>
        <v>0</v>
      </c>
      <c r="J46" s="11"/>
    </row>
    <row r="47" spans="2:10" x14ac:dyDescent="0.3">
      <c r="B47" s="648">
        <f>'III. INPUT-Baseline'!B114</f>
        <v>0</v>
      </c>
      <c r="C47" s="177">
        <f>'III. INPUT-Baseline'!$F$86</f>
        <v>0</v>
      </c>
      <c r="D47" s="177">
        <f>'III. INPUT-Baseline'!F171</f>
        <v>0</v>
      </c>
      <c r="E47" s="178">
        <f>'III. INPUT-Baseline'!$D$100</f>
        <v>0</v>
      </c>
      <c r="F47" s="177">
        <f>'III. INPUT-Baseline'!$C$151</f>
        <v>0</v>
      </c>
      <c r="G47" s="177">
        <f>'III. INPUT-Baseline'!$C$114</f>
        <v>0</v>
      </c>
      <c r="H47" s="158">
        <f>C47*D47*E47*('III. INPUT-Baseline'!$G$48-'III. INPUT-Baseline'!$H$48)*F47*G47*0.68*0.001</f>
        <v>0</v>
      </c>
      <c r="I47" s="158">
        <f t="shared" si="2"/>
        <v>0</v>
      </c>
      <c r="J47" s="11"/>
    </row>
    <row r="48" spans="2:10" x14ac:dyDescent="0.3">
      <c r="B48" s="648">
        <f>'III. INPUT-Baseline'!B115</f>
        <v>0</v>
      </c>
      <c r="C48" s="177">
        <f>'III. INPUT-Baseline'!$G$86</f>
        <v>0</v>
      </c>
      <c r="D48" s="177">
        <f>'III. INPUT-Baseline'!G171</f>
        <v>0</v>
      </c>
      <c r="E48" s="178">
        <f>'III. INPUT-Baseline'!$D$101</f>
        <v>0</v>
      </c>
      <c r="F48" s="177">
        <f>'III. INPUT-Baseline'!$C$151</f>
        <v>0</v>
      </c>
      <c r="G48" s="177">
        <f>'III. INPUT-Baseline'!$C$115</f>
        <v>0</v>
      </c>
      <c r="H48" s="158">
        <f>C48*D48*E48*('III. INPUT-Baseline'!$G$48-'III. INPUT-Baseline'!$H$48)*F48*G48*0.68*0.001</f>
        <v>0</v>
      </c>
      <c r="I48" s="158">
        <f t="shared" si="2"/>
        <v>0</v>
      </c>
      <c r="J48" s="11"/>
    </row>
    <row r="49" spans="2:10" x14ac:dyDescent="0.3">
      <c r="B49" s="648">
        <f>'III. INPUT-Baseline'!B116</f>
        <v>0</v>
      </c>
      <c r="C49" s="177">
        <f>'III. INPUT-Baseline'!$H$86</f>
        <v>0</v>
      </c>
      <c r="D49" s="177">
        <f>'III. INPUT-Baseline'!H171</f>
        <v>0</v>
      </c>
      <c r="E49" s="178">
        <f>'III. INPUT-Baseline'!$D$102</f>
        <v>0</v>
      </c>
      <c r="F49" s="177">
        <f>'III. INPUT-Baseline'!$C$151</f>
        <v>0</v>
      </c>
      <c r="G49" s="650">
        <f>'III. INPUT-Baseline'!$C$116</f>
        <v>0</v>
      </c>
      <c r="H49" s="158">
        <f>C49*D49*E49*('III. INPUT-Baseline'!$G$48-'III. INPUT-Baseline'!$H$48)*F49*G49*0.68*0.001</f>
        <v>0</v>
      </c>
      <c r="I49" s="158">
        <f t="shared" si="2"/>
        <v>0</v>
      </c>
      <c r="J49" s="11"/>
    </row>
    <row r="50" spans="2:10" x14ac:dyDescent="0.3">
      <c r="B50" s="648">
        <f>'III. INPUT-Baseline'!B117</f>
        <v>0</v>
      </c>
      <c r="C50" s="177">
        <f>'III. INPUT-Baseline'!$I$86</f>
        <v>0</v>
      </c>
      <c r="D50" s="177">
        <f>'III. INPUT-Baseline'!I171</f>
        <v>0</v>
      </c>
      <c r="E50" s="178">
        <f>'III. INPUT-Baseline'!$D$103</f>
        <v>0</v>
      </c>
      <c r="F50" s="177">
        <f>'III. INPUT-Baseline'!$C$151</f>
        <v>0</v>
      </c>
      <c r="G50" s="177">
        <f>'III. INPUT-Baseline'!$C$117</f>
        <v>0</v>
      </c>
      <c r="H50" s="158">
        <f>C50*D50*E50*('III. INPUT-Baseline'!$G$48-'III. INPUT-Baseline'!$H$48)*F50*G50*0.68*0.001</f>
        <v>0</v>
      </c>
      <c r="I50" s="158">
        <f t="shared" si="2"/>
        <v>0</v>
      </c>
      <c r="J50" s="11"/>
    </row>
    <row r="51" spans="2:10" x14ac:dyDescent="0.3">
      <c r="B51" s="648">
        <f>'III. INPUT-Baseline'!B118</f>
        <v>0</v>
      </c>
      <c r="C51" s="177">
        <f>'III. INPUT-Baseline'!$J$86</f>
        <v>0</v>
      </c>
      <c r="D51" s="177">
        <f>'III. INPUT-Baseline'!J171</f>
        <v>0</v>
      </c>
      <c r="E51" s="178">
        <f>'III. INPUT-Baseline'!$D$104</f>
        <v>0</v>
      </c>
      <c r="F51" s="177">
        <f>'III. INPUT-Baseline'!$C$151</f>
        <v>0</v>
      </c>
      <c r="G51" s="177">
        <f>'III. INPUT-Baseline'!$C$118</f>
        <v>0</v>
      </c>
      <c r="H51" s="158">
        <f>C51*D51*E51*('III. INPUT-Baseline'!$G$48-'III. INPUT-Baseline'!$H$48)*F51*G51*0.68*0.001</f>
        <v>0</v>
      </c>
      <c r="I51" s="158">
        <f t="shared" si="2"/>
        <v>0</v>
      </c>
      <c r="J51" s="11"/>
    </row>
    <row r="52" spans="2:10" x14ac:dyDescent="0.3">
      <c r="B52" s="648">
        <f>'III. INPUT-Baseline'!B119</f>
        <v>0</v>
      </c>
      <c r="C52" s="177">
        <f>'III. INPUT-Baseline'!$K$86</f>
        <v>0</v>
      </c>
      <c r="D52" s="177">
        <f>'III. INPUT-Baseline'!K171</f>
        <v>0</v>
      </c>
      <c r="E52" s="178">
        <f>'III. INPUT-Baseline'!$D$105</f>
        <v>0</v>
      </c>
      <c r="F52" s="177">
        <f>'III. INPUT-Baseline'!$C$151</f>
        <v>0</v>
      </c>
      <c r="G52" s="177">
        <f>'III. INPUT-Baseline'!$C$119</f>
        <v>0</v>
      </c>
      <c r="H52" s="158">
        <f>C52*D52*E52*('III. INPUT-Baseline'!$G$48-'III. INPUT-Baseline'!$H$48)*F52*G52*0.68*0.001</f>
        <v>0</v>
      </c>
      <c r="I52" s="158">
        <f t="shared" si="2"/>
        <v>0</v>
      </c>
      <c r="J52" s="11"/>
    </row>
    <row r="53" spans="2:10" x14ac:dyDescent="0.3">
      <c r="B53" s="648">
        <f>'III. INPUT-Baseline'!B120</f>
        <v>0</v>
      </c>
      <c r="C53" s="177">
        <f>'III. INPUT-Baseline'!$L$86</f>
        <v>0</v>
      </c>
      <c r="D53" s="177">
        <f>'III. INPUT-Baseline'!L171</f>
        <v>0</v>
      </c>
      <c r="E53" s="178">
        <f>'III. INPUT-Baseline'!$D$106</f>
        <v>0</v>
      </c>
      <c r="F53" s="177">
        <f>'III. INPUT-Baseline'!$C$151</f>
        <v>0</v>
      </c>
      <c r="G53" s="177">
        <f>'III. INPUT-Baseline'!$C$120</f>
        <v>0</v>
      </c>
      <c r="H53" s="158">
        <f>C53*D53*E53*('III. INPUT-Baseline'!$G$48-'III. INPUT-Baseline'!$H$48)*F53*G53*0.68*0.001</f>
        <v>0</v>
      </c>
      <c r="I53" s="158">
        <f t="shared" si="2"/>
        <v>0</v>
      </c>
      <c r="J53" s="11"/>
    </row>
    <row r="54" spans="2:10" x14ac:dyDescent="0.3">
      <c r="B54" s="651" t="s">
        <v>449</v>
      </c>
      <c r="C54" s="652"/>
      <c r="D54" s="652"/>
      <c r="E54" s="652"/>
      <c r="F54" s="652"/>
      <c r="G54" s="653"/>
      <c r="H54" s="605">
        <f>SUM(H44:H53)</f>
        <v>0</v>
      </c>
      <c r="I54" s="605">
        <f>SUM(I44:I53)</f>
        <v>0</v>
      </c>
      <c r="J54" s="11"/>
    </row>
    <row r="55" spans="2:10" x14ac:dyDescent="0.3">
      <c r="I55" s="61"/>
      <c r="J55" s="11"/>
    </row>
    <row r="56" spans="2:10" x14ac:dyDescent="0.3">
      <c r="B56" s="649">
        <f>'III. INPUT-Baseline'!C128</f>
        <v>0</v>
      </c>
      <c r="J56" s="11"/>
    </row>
    <row r="57" spans="2:10" s="4" customFormat="1" ht="16" x14ac:dyDescent="0.4">
      <c r="B57" s="136" t="s">
        <v>441</v>
      </c>
      <c r="C57" s="136" t="s">
        <v>442</v>
      </c>
      <c r="D57" s="136" t="s">
        <v>443</v>
      </c>
      <c r="E57" s="136" t="s">
        <v>444</v>
      </c>
      <c r="F57" s="136" t="s">
        <v>445</v>
      </c>
      <c r="G57" s="136" t="s">
        <v>446</v>
      </c>
      <c r="H57" s="591" t="s">
        <v>447</v>
      </c>
      <c r="I57" s="591" t="s">
        <v>448</v>
      </c>
    </row>
    <row r="58" spans="2:10" x14ac:dyDescent="0.3">
      <c r="B58" s="648">
        <f>'III. INPUT-Baseline'!B111</f>
        <v>0</v>
      </c>
      <c r="C58" s="177">
        <f>'III. INPUT-Baseline'!$C$86</f>
        <v>0</v>
      </c>
      <c r="D58" s="177">
        <f>'III. INPUT-Baseline'!C172</f>
        <v>0</v>
      </c>
      <c r="E58" s="178">
        <f>'V. Baseline Anaerobic CH4'!$C$19</f>
        <v>0</v>
      </c>
      <c r="F58" s="177">
        <f>'III. INPUT-Baseline'!$C$152</f>
        <v>0</v>
      </c>
      <c r="G58" s="177">
        <f>'III. INPUT-Baseline'!$C$111</f>
        <v>0</v>
      </c>
      <c r="H58" s="158">
        <f>C58*D58*E58*('III. INPUT-Baseline'!$G$48-'III. INPUT-Baseline'!$H$48)*F58*G58*0.68*0.001</f>
        <v>0</v>
      </c>
      <c r="I58" s="158">
        <f t="shared" ref="I58:I67" si="3">H58*gwp_ch4</f>
        <v>0</v>
      </c>
      <c r="J58" s="11"/>
    </row>
    <row r="59" spans="2:10" x14ac:dyDescent="0.3">
      <c r="B59" s="648">
        <f>'III. INPUT-Baseline'!B112</f>
        <v>0</v>
      </c>
      <c r="C59" s="177">
        <f>'III. INPUT-Baseline'!$D$86</f>
        <v>0</v>
      </c>
      <c r="D59" s="177">
        <f>'III. INPUT-Baseline'!D172</f>
        <v>0</v>
      </c>
      <c r="E59" s="178">
        <f>'V. Baseline Anaerobic CH4'!$C$63</f>
        <v>0</v>
      </c>
      <c r="F59" s="177">
        <f>'III. INPUT-Baseline'!$C$152</f>
        <v>0</v>
      </c>
      <c r="G59" s="177">
        <f>'III. INPUT-Baseline'!$C$112</f>
        <v>0</v>
      </c>
      <c r="H59" s="158">
        <f>C59*D59*E59*('III. INPUT-Baseline'!$G$48-'III. INPUT-Baseline'!$H$48)*F59*G59*0.68*0.001</f>
        <v>0</v>
      </c>
      <c r="I59" s="158">
        <f t="shared" si="3"/>
        <v>0</v>
      </c>
      <c r="J59" s="11"/>
    </row>
    <row r="60" spans="2:10" x14ac:dyDescent="0.3">
      <c r="B60" s="648">
        <f>'III. INPUT-Baseline'!B113</f>
        <v>0</v>
      </c>
      <c r="C60" s="177">
        <f>'III. INPUT-Baseline'!$E$86</f>
        <v>0</v>
      </c>
      <c r="D60" s="177">
        <f>'III. INPUT-Baseline'!E172</f>
        <v>0</v>
      </c>
      <c r="E60" s="178">
        <f>'III. INPUT-Baseline'!$D$99</f>
        <v>0</v>
      </c>
      <c r="F60" s="177">
        <f>'III. INPUT-Baseline'!$C$152</f>
        <v>0</v>
      </c>
      <c r="G60" s="177">
        <f>'III. INPUT-Baseline'!$C$113</f>
        <v>0</v>
      </c>
      <c r="H60" s="158">
        <f>C60*D60*E60*('III. INPUT-Baseline'!$G$48-'III. INPUT-Baseline'!$H$48)*F60*G60*0.68*0.001</f>
        <v>0</v>
      </c>
      <c r="I60" s="158">
        <f t="shared" si="3"/>
        <v>0</v>
      </c>
      <c r="J60" s="11"/>
    </row>
    <row r="61" spans="2:10" x14ac:dyDescent="0.3">
      <c r="B61" s="648">
        <f>'III. INPUT-Baseline'!B114</f>
        <v>0</v>
      </c>
      <c r="C61" s="177">
        <f>'III. INPUT-Baseline'!$F$86</f>
        <v>0</v>
      </c>
      <c r="D61" s="177">
        <f>'III. INPUT-Baseline'!F172</f>
        <v>0</v>
      </c>
      <c r="E61" s="178">
        <f>'III. INPUT-Baseline'!$D$100</f>
        <v>0</v>
      </c>
      <c r="F61" s="177">
        <f>'III. INPUT-Baseline'!$C$152</f>
        <v>0</v>
      </c>
      <c r="G61" s="177">
        <f>'III. INPUT-Baseline'!$C$114</f>
        <v>0</v>
      </c>
      <c r="H61" s="158">
        <f>C61*D61*E61*('III. INPUT-Baseline'!$G$48-'III. INPUT-Baseline'!$H$48)*F61*G61*0.68*0.001</f>
        <v>0</v>
      </c>
      <c r="I61" s="158">
        <f t="shared" si="3"/>
        <v>0</v>
      </c>
      <c r="J61" s="11"/>
    </row>
    <row r="62" spans="2:10" x14ac:dyDescent="0.3">
      <c r="B62" s="648">
        <f>'III. INPUT-Baseline'!B115</f>
        <v>0</v>
      </c>
      <c r="C62" s="177">
        <f>'III. INPUT-Baseline'!$G$86</f>
        <v>0</v>
      </c>
      <c r="D62" s="177">
        <f>'III. INPUT-Baseline'!G172</f>
        <v>0</v>
      </c>
      <c r="E62" s="178">
        <f>'III. INPUT-Baseline'!$D$101</f>
        <v>0</v>
      </c>
      <c r="F62" s="177">
        <f>'III. INPUT-Baseline'!$C$152</f>
        <v>0</v>
      </c>
      <c r="G62" s="177">
        <f>'III. INPUT-Baseline'!$C$115</f>
        <v>0</v>
      </c>
      <c r="H62" s="158">
        <f>C62*D62*E62*('III. INPUT-Baseline'!$G$48-'III. INPUT-Baseline'!$H$48)*F62*G62*0.68*0.001</f>
        <v>0</v>
      </c>
      <c r="I62" s="158">
        <f t="shared" si="3"/>
        <v>0</v>
      </c>
      <c r="J62" s="11"/>
    </row>
    <row r="63" spans="2:10" x14ac:dyDescent="0.3">
      <c r="B63" s="648">
        <f>'III. INPUT-Baseline'!B116</f>
        <v>0</v>
      </c>
      <c r="C63" s="177">
        <f>'III. INPUT-Baseline'!$H$86</f>
        <v>0</v>
      </c>
      <c r="D63" s="177">
        <f>'III. INPUT-Baseline'!H172</f>
        <v>0</v>
      </c>
      <c r="E63" s="178">
        <f>'III. INPUT-Baseline'!$D$102</f>
        <v>0</v>
      </c>
      <c r="F63" s="177">
        <f>'III. INPUT-Baseline'!$C$152</f>
        <v>0</v>
      </c>
      <c r="G63" s="177">
        <f>'III. INPUT-Baseline'!$C$116</f>
        <v>0</v>
      </c>
      <c r="H63" s="158">
        <f>C63*D63*E63*('III. INPUT-Baseline'!$G$48-'III. INPUT-Baseline'!$H$48)*F63*G63*0.68*0.001</f>
        <v>0</v>
      </c>
      <c r="I63" s="158">
        <f t="shared" si="3"/>
        <v>0</v>
      </c>
      <c r="J63" s="11"/>
    </row>
    <row r="64" spans="2:10" x14ac:dyDescent="0.3">
      <c r="B64" s="648">
        <f>'III. INPUT-Baseline'!B117</f>
        <v>0</v>
      </c>
      <c r="C64" s="177">
        <f>'III. INPUT-Baseline'!$I$86</f>
        <v>0</v>
      </c>
      <c r="D64" s="177">
        <f>'III. INPUT-Baseline'!I172</f>
        <v>0</v>
      </c>
      <c r="E64" s="178">
        <f>'III. INPUT-Baseline'!$D$103</f>
        <v>0</v>
      </c>
      <c r="F64" s="177">
        <f>'III. INPUT-Baseline'!$C$152</f>
        <v>0</v>
      </c>
      <c r="G64" s="177">
        <f>'III. INPUT-Baseline'!$C$117</f>
        <v>0</v>
      </c>
      <c r="H64" s="158">
        <f>C64*D64*E64*('III. INPUT-Baseline'!$G$48-'III. INPUT-Baseline'!$H$48)*F64*G64*0.68*0.001</f>
        <v>0</v>
      </c>
      <c r="I64" s="158">
        <f t="shared" si="3"/>
        <v>0</v>
      </c>
      <c r="J64" s="11"/>
    </row>
    <row r="65" spans="2:10" x14ac:dyDescent="0.3">
      <c r="B65" s="648">
        <f>'III. INPUT-Baseline'!B118</f>
        <v>0</v>
      </c>
      <c r="C65" s="177">
        <f>'III. INPUT-Baseline'!$J$86</f>
        <v>0</v>
      </c>
      <c r="D65" s="177">
        <f>'III. INPUT-Baseline'!J172</f>
        <v>0</v>
      </c>
      <c r="E65" s="178">
        <f>'III. INPUT-Baseline'!$D$104</f>
        <v>0</v>
      </c>
      <c r="F65" s="177">
        <f>'III. INPUT-Baseline'!$C$152</f>
        <v>0</v>
      </c>
      <c r="G65" s="177">
        <f>'III. INPUT-Baseline'!$C$118</f>
        <v>0</v>
      </c>
      <c r="H65" s="158">
        <f>C65*D65*E65*('III. INPUT-Baseline'!$G$48-'III. INPUT-Baseline'!$H$48)*F65*G65*0.68*0.001</f>
        <v>0</v>
      </c>
      <c r="I65" s="158">
        <f t="shared" si="3"/>
        <v>0</v>
      </c>
      <c r="J65" s="11"/>
    </row>
    <row r="66" spans="2:10" x14ac:dyDescent="0.3">
      <c r="B66" s="648">
        <f>'III. INPUT-Baseline'!B119</f>
        <v>0</v>
      </c>
      <c r="C66" s="177">
        <f>'III. INPUT-Baseline'!$K$86</f>
        <v>0</v>
      </c>
      <c r="D66" s="177">
        <f>'III. INPUT-Baseline'!K172</f>
        <v>0</v>
      </c>
      <c r="E66" s="178">
        <f>'III. INPUT-Baseline'!$D$105</f>
        <v>0</v>
      </c>
      <c r="F66" s="177">
        <f>'III. INPUT-Baseline'!$C$152</f>
        <v>0</v>
      </c>
      <c r="G66" s="177">
        <f>'III. INPUT-Baseline'!$C$119</f>
        <v>0</v>
      </c>
      <c r="H66" s="158">
        <f>C66*D66*E66*('III. INPUT-Baseline'!$G$48-'III. INPUT-Baseline'!$H$48)*F66*G66*0.68*0.001</f>
        <v>0</v>
      </c>
      <c r="I66" s="158">
        <f t="shared" si="3"/>
        <v>0</v>
      </c>
      <c r="J66" s="11"/>
    </row>
    <row r="67" spans="2:10" x14ac:dyDescent="0.3">
      <c r="B67" s="648">
        <f>'III. INPUT-Baseline'!B120</f>
        <v>0</v>
      </c>
      <c r="C67" s="177">
        <f>'III. INPUT-Baseline'!$L$86</f>
        <v>0</v>
      </c>
      <c r="D67" s="177">
        <f>'III. INPUT-Baseline'!L172</f>
        <v>0</v>
      </c>
      <c r="E67" s="178">
        <f>'III. INPUT-Baseline'!$D$106</f>
        <v>0</v>
      </c>
      <c r="F67" s="177">
        <f>'III. INPUT-Baseline'!$C$152</f>
        <v>0</v>
      </c>
      <c r="G67" s="177">
        <f>'III. INPUT-Baseline'!$C$120</f>
        <v>0</v>
      </c>
      <c r="H67" s="158">
        <f>C67*D67*E67*('III. INPUT-Baseline'!$G$48-'III. INPUT-Baseline'!$H$48)*F67*G67*0.68*0.001</f>
        <v>0</v>
      </c>
      <c r="I67" s="158">
        <f t="shared" si="3"/>
        <v>0</v>
      </c>
      <c r="J67" s="11"/>
    </row>
    <row r="68" spans="2:10" x14ac:dyDescent="0.3">
      <c r="B68" s="651" t="s">
        <v>449</v>
      </c>
      <c r="C68" s="652"/>
      <c r="D68" s="652"/>
      <c r="E68" s="652"/>
      <c r="F68" s="652"/>
      <c r="G68" s="653"/>
      <c r="H68" s="605">
        <f>SUM(H58:H67)</f>
        <v>0</v>
      </c>
      <c r="I68" s="605">
        <f>SUM(I58:I67)</f>
        <v>0</v>
      </c>
      <c r="J68" s="11"/>
    </row>
    <row r="69" spans="2:10" x14ac:dyDescent="0.3">
      <c r="H69" s="61"/>
      <c r="I69" s="61"/>
      <c r="J69" s="11"/>
    </row>
    <row r="70" spans="2:10" x14ac:dyDescent="0.3">
      <c r="B70" s="649">
        <f>'III. INPUT-Baseline'!C129</f>
        <v>0</v>
      </c>
      <c r="H70" s="39"/>
      <c r="J70" s="11"/>
    </row>
    <row r="71" spans="2:10" s="4" customFormat="1" ht="16" x14ac:dyDescent="0.4">
      <c r="B71" s="136" t="s">
        <v>441</v>
      </c>
      <c r="C71" s="136" t="s">
        <v>442</v>
      </c>
      <c r="D71" s="136" t="s">
        <v>443</v>
      </c>
      <c r="E71" s="136" t="s">
        <v>444</v>
      </c>
      <c r="F71" s="136" t="s">
        <v>445</v>
      </c>
      <c r="G71" s="136" t="s">
        <v>446</v>
      </c>
      <c r="H71" s="591" t="s">
        <v>447</v>
      </c>
      <c r="I71" s="591" t="s">
        <v>448</v>
      </c>
    </row>
    <row r="72" spans="2:10" x14ac:dyDescent="0.3">
      <c r="B72" s="648">
        <f>'III. INPUT-Baseline'!B111</f>
        <v>0</v>
      </c>
      <c r="C72" s="177">
        <f>'III. INPUT-Baseline'!$C$86</f>
        <v>0</v>
      </c>
      <c r="D72" s="177">
        <f>'III. INPUT-Baseline'!C173</f>
        <v>0</v>
      </c>
      <c r="E72" s="178">
        <f>'V. Baseline Anaerobic CH4'!$C$19</f>
        <v>0</v>
      </c>
      <c r="F72" s="177">
        <f>'III. INPUT-Baseline'!$C$153</f>
        <v>0</v>
      </c>
      <c r="G72" s="177">
        <f>'III. INPUT-Baseline'!$C$111</f>
        <v>0</v>
      </c>
      <c r="H72" s="158">
        <f>C72*D72*E72*('III. INPUT-Baseline'!$G$48-'III. INPUT-Baseline'!$H$48)*F72*G72*0.68*0.001</f>
        <v>0</v>
      </c>
      <c r="I72" s="158">
        <f t="shared" ref="I72:I81" si="4">H72*gwp_ch4</f>
        <v>0</v>
      </c>
      <c r="J72" s="11"/>
    </row>
    <row r="73" spans="2:10" x14ac:dyDescent="0.3">
      <c r="B73" s="648">
        <f>'III. INPUT-Baseline'!B112</f>
        <v>0</v>
      </c>
      <c r="C73" s="177">
        <f>'III. INPUT-Baseline'!$D$86</f>
        <v>0</v>
      </c>
      <c r="D73" s="177">
        <f>'III. INPUT-Baseline'!D173</f>
        <v>0</v>
      </c>
      <c r="E73" s="178">
        <f>'V. Baseline Anaerobic CH4'!$C$63</f>
        <v>0</v>
      </c>
      <c r="F73" s="177">
        <f>'III. INPUT-Baseline'!$C$153</f>
        <v>0</v>
      </c>
      <c r="G73" s="176">
        <f>'III. INPUT-Baseline'!$C$112</f>
        <v>0</v>
      </c>
      <c r="H73" s="158">
        <f>C73*D73*E73*('III. INPUT-Baseline'!$G$48-'III. INPUT-Baseline'!$H$48)*F73*G73*0.68*0.001</f>
        <v>0</v>
      </c>
      <c r="I73" s="158">
        <f t="shared" si="4"/>
        <v>0</v>
      </c>
      <c r="J73" s="11"/>
    </row>
    <row r="74" spans="2:10" x14ac:dyDescent="0.3">
      <c r="B74" s="648">
        <f>'III. INPUT-Baseline'!B113</f>
        <v>0</v>
      </c>
      <c r="C74" s="177">
        <f>'III. INPUT-Baseline'!$E$86</f>
        <v>0</v>
      </c>
      <c r="D74" s="177">
        <f>'III. INPUT-Baseline'!E173</f>
        <v>0</v>
      </c>
      <c r="E74" s="178">
        <f>'III. INPUT-Baseline'!$D$99</f>
        <v>0</v>
      </c>
      <c r="F74" s="177">
        <f>'III. INPUT-Baseline'!$C$153</f>
        <v>0</v>
      </c>
      <c r="G74" s="176">
        <f>'III. INPUT-Baseline'!$C$113</f>
        <v>0</v>
      </c>
      <c r="H74" s="158">
        <f>C74*D74*E74*('III. INPUT-Baseline'!$G$48-'III. INPUT-Baseline'!$H$48)*F74*G74*0.68*0.001</f>
        <v>0</v>
      </c>
      <c r="I74" s="158">
        <f t="shared" si="4"/>
        <v>0</v>
      </c>
      <c r="J74" s="11"/>
    </row>
    <row r="75" spans="2:10" x14ac:dyDescent="0.3">
      <c r="B75" s="648">
        <f>'III. INPUT-Baseline'!B114</f>
        <v>0</v>
      </c>
      <c r="C75" s="177">
        <f>'III. INPUT-Baseline'!$F$86</f>
        <v>0</v>
      </c>
      <c r="D75" s="177">
        <f>'III. INPUT-Baseline'!F173</f>
        <v>0</v>
      </c>
      <c r="E75" s="178">
        <f>'III. INPUT-Baseline'!$D$100</f>
        <v>0</v>
      </c>
      <c r="F75" s="177">
        <f>'III. INPUT-Baseline'!$C$153</f>
        <v>0</v>
      </c>
      <c r="G75" s="176">
        <f>'III. INPUT-Baseline'!$C$114</f>
        <v>0</v>
      </c>
      <c r="H75" s="158">
        <f>C75*D75*E75*('III. INPUT-Baseline'!$G$48-'III. INPUT-Baseline'!$H$48)*F75*G75*0.68*0.001</f>
        <v>0</v>
      </c>
      <c r="I75" s="158">
        <f t="shared" si="4"/>
        <v>0</v>
      </c>
      <c r="J75" s="11"/>
    </row>
    <row r="76" spans="2:10" x14ac:dyDescent="0.3">
      <c r="B76" s="648">
        <f>'III. INPUT-Baseline'!B115</f>
        <v>0</v>
      </c>
      <c r="C76" s="177">
        <f>'III. INPUT-Baseline'!$G$86</f>
        <v>0</v>
      </c>
      <c r="D76" s="177">
        <f>'III. INPUT-Baseline'!G173</f>
        <v>0</v>
      </c>
      <c r="E76" s="178">
        <f>'III. INPUT-Baseline'!$D$101</f>
        <v>0</v>
      </c>
      <c r="F76" s="177">
        <f>'III. INPUT-Baseline'!$C$153</f>
        <v>0</v>
      </c>
      <c r="G76" s="176">
        <f>'III. INPUT-Baseline'!$C$115</f>
        <v>0</v>
      </c>
      <c r="H76" s="158">
        <f>C76*D76*E76*('III. INPUT-Baseline'!$G$48-'III. INPUT-Baseline'!$H$48)*F76*G76*0.68*0.001</f>
        <v>0</v>
      </c>
      <c r="I76" s="158">
        <f t="shared" si="4"/>
        <v>0</v>
      </c>
      <c r="J76" s="11"/>
    </row>
    <row r="77" spans="2:10" x14ac:dyDescent="0.3">
      <c r="B77" s="648">
        <f>'III. INPUT-Baseline'!B116</f>
        <v>0</v>
      </c>
      <c r="C77" s="177">
        <f>'III. INPUT-Baseline'!$H$86</f>
        <v>0</v>
      </c>
      <c r="D77" s="177">
        <f>'III. INPUT-Baseline'!H173</f>
        <v>0</v>
      </c>
      <c r="E77" s="178">
        <f>'III. INPUT-Baseline'!$D$102</f>
        <v>0</v>
      </c>
      <c r="F77" s="177">
        <f>'III. INPUT-Baseline'!$C$153</f>
        <v>0</v>
      </c>
      <c r="G77" s="176">
        <f>'III. INPUT-Baseline'!$C$116</f>
        <v>0</v>
      </c>
      <c r="H77" s="158">
        <f>C77*D77*E77*('III. INPUT-Baseline'!$G$48-'III. INPUT-Baseline'!$H$48)*F77*G77*0.68*0.001</f>
        <v>0</v>
      </c>
      <c r="I77" s="158">
        <f t="shared" si="4"/>
        <v>0</v>
      </c>
      <c r="J77" s="11"/>
    </row>
    <row r="78" spans="2:10" x14ac:dyDescent="0.3">
      <c r="B78" s="648">
        <f>'III. INPUT-Baseline'!B117</f>
        <v>0</v>
      </c>
      <c r="C78" s="177">
        <f>'III. INPUT-Baseline'!$I$86</f>
        <v>0</v>
      </c>
      <c r="D78" s="177">
        <f>'III. INPUT-Baseline'!I173</f>
        <v>0</v>
      </c>
      <c r="E78" s="178">
        <f>'III. INPUT-Baseline'!$D$103</f>
        <v>0</v>
      </c>
      <c r="F78" s="177">
        <f>'III. INPUT-Baseline'!$C$153</f>
        <v>0</v>
      </c>
      <c r="G78" s="176">
        <f>'III. INPUT-Baseline'!$C$117</f>
        <v>0</v>
      </c>
      <c r="H78" s="158">
        <f>C78*D78*E78*('III. INPUT-Baseline'!$G$48-'III. INPUT-Baseline'!$H$48)*F78*G78*0.68*0.001</f>
        <v>0</v>
      </c>
      <c r="I78" s="158">
        <f t="shared" si="4"/>
        <v>0</v>
      </c>
      <c r="J78" s="11"/>
    </row>
    <row r="79" spans="2:10" x14ac:dyDescent="0.3">
      <c r="B79" s="648">
        <f>'III. INPUT-Baseline'!B118</f>
        <v>0</v>
      </c>
      <c r="C79" s="177">
        <f>'III. INPUT-Baseline'!$J$86</f>
        <v>0</v>
      </c>
      <c r="D79" s="177">
        <f>'III. INPUT-Baseline'!J173</f>
        <v>0</v>
      </c>
      <c r="E79" s="178">
        <f>'III. INPUT-Baseline'!$D$104</f>
        <v>0</v>
      </c>
      <c r="F79" s="177">
        <f>'III. INPUT-Baseline'!$C$153</f>
        <v>0</v>
      </c>
      <c r="G79" s="176">
        <f>'III. INPUT-Baseline'!$C$118</f>
        <v>0</v>
      </c>
      <c r="H79" s="158">
        <f>C79*D79*E79*('III. INPUT-Baseline'!$G$48-'III. INPUT-Baseline'!$H$48)*F79*G79*0.68*0.001</f>
        <v>0</v>
      </c>
      <c r="I79" s="158">
        <f t="shared" si="4"/>
        <v>0</v>
      </c>
      <c r="J79" s="11"/>
    </row>
    <row r="80" spans="2:10" x14ac:dyDescent="0.3">
      <c r="B80" s="648">
        <f>'III. INPUT-Baseline'!B119</f>
        <v>0</v>
      </c>
      <c r="C80" s="177">
        <f>'III. INPUT-Baseline'!$K$86</f>
        <v>0</v>
      </c>
      <c r="D80" s="177">
        <f>'III. INPUT-Baseline'!K173</f>
        <v>0</v>
      </c>
      <c r="E80" s="178">
        <f>'III. INPUT-Baseline'!$D$105</f>
        <v>0</v>
      </c>
      <c r="F80" s="177">
        <f>'III. INPUT-Baseline'!$C$153</f>
        <v>0</v>
      </c>
      <c r="G80" s="176">
        <f>'III. INPUT-Baseline'!$C$119</f>
        <v>0</v>
      </c>
      <c r="H80" s="158">
        <f>C80*D80*E80*('III. INPUT-Baseline'!$G$48-'III. INPUT-Baseline'!$H$48)*F80*G80*0.68*0.001</f>
        <v>0</v>
      </c>
      <c r="I80" s="158">
        <f t="shared" si="4"/>
        <v>0</v>
      </c>
      <c r="J80" s="11"/>
    </row>
    <row r="81" spans="2:10" x14ac:dyDescent="0.3">
      <c r="B81" s="648">
        <f>'III. INPUT-Baseline'!B120</f>
        <v>0</v>
      </c>
      <c r="C81" s="177">
        <f>'III. INPUT-Baseline'!$L$86</f>
        <v>0</v>
      </c>
      <c r="D81" s="177">
        <f>'III. INPUT-Baseline'!L173</f>
        <v>0</v>
      </c>
      <c r="E81" s="178">
        <f>'III. INPUT-Baseline'!$D$106</f>
        <v>0</v>
      </c>
      <c r="F81" s="177">
        <f>'III. INPUT-Baseline'!$C$153</f>
        <v>0</v>
      </c>
      <c r="G81" s="176">
        <f>'III. INPUT-Baseline'!$C$120</f>
        <v>0</v>
      </c>
      <c r="H81" s="158">
        <f>C81*D81*E81*('III. INPUT-Baseline'!$G$48-'III. INPUT-Baseline'!$H$48)*F81*G81*0.68*0.001</f>
        <v>0</v>
      </c>
      <c r="I81" s="158">
        <f t="shared" si="4"/>
        <v>0</v>
      </c>
      <c r="J81" s="11"/>
    </row>
    <row r="82" spans="2:10" x14ac:dyDescent="0.3">
      <c r="B82" s="651" t="s">
        <v>449</v>
      </c>
      <c r="C82" s="652"/>
      <c r="D82" s="652"/>
      <c r="E82" s="652"/>
      <c r="F82" s="652"/>
      <c r="G82" s="653"/>
      <c r="H82" s="623">
        <f>SUM(H72:H81)</f>
        <v>0</v>
      </c>
      <c r="I82" s="623">
        <f>SUM(I72:I81)</f>
        <v>0</v>
      </c>
      <c r="J82" s="11"/>
    </row>
    <row r="83" spans="2:10" x14ac:dyDescent="0.3">
      <c r="H83" s="61"/>
      <c r="I83" s="61"/>
      <c r="J83" s="11"/>
    </row>
    <row r="84" spans="2:10" x14ac:dyDescent="0.3">
      <c r="B84" s="649">
        <f>'III. INPUT-Baseline'!C130</f>
        <v>0</v>
      </c>
      <c r="H84" s="39"/>
      <c r="J84" s="11"/>
    </row>
    <row r="85" spans="2:10" s="4" customFormat="1" ht="16" x14ac:dyDescent="0.4">
      <c r="B85" s="136" t="s">
        <v>441</v>
      </c>
      <c r="C85" s="136" t="s">
        <v>442</v>
      </c>
      <c r="D85" s="136" t="s">
        <v>443</v>
      </c>
      <c r="E85" s="136" t="s">
        <v>444</v>
      </c>
      <c r="F85" s="136" t="s">
        <v>445</v>
      </c>
      <c r="G85" s="136" t="s">
        <v>446</v>
      </c>
      <c r="H85" s="591" t="s">
        <v>447</v>
      </c>
      <c r="I85" s="591" t="s">
        <v>448</v>
      </c>
    </row>
    <row r="86" spans="2:10" x14ac:dyDescent="0.3">
      <c r="B86" s="648">
        <f>'III. INPUT-Baseline'!B111</f>
        <v>0</v>
      </c>
      <c r="C86" s="177">
        <f>'III. INPUT-Baseline'!$C$86</f>
        <v>0</v>
      </c>
      <c r="D86" s="177">
        <f>'III. INPUT-Baseline'!C174</f>
        <v>0</v>
      </c>
      <c r="E86" s="178">
        <f>'V. Baseline Anaerobic CH4'!$C$19</f>
        <v>0</v>
      </c>
      <c r="F86" s="177">
        <f>'III. INPUT-Baseline'!$C$154</f>
        <v>0</v>
      </c>
      <c r="G86" s="177">
        <f>'III. INPUT-Baseline'!$C$111</f>
        <v>0</v>
      </c>
      <c r="H86" s="158">
        <f>C86*D86*E86*('III. INPUT-Baseline'!$G$48-'III. INPUT-Baseline'!$H$48)*F86*G86*0.68*0.001</f>
        <v>0</v>
      </c>
      <c r="I86" s="158">
        <f t="shared" ref="I86:I95" si="5">H86*gwp_ch4</f>
        <v>0</v>
      </c>
      <c r="J86" s="11"/>
    </row>
    <row r="87" spans="2:10" x14ac:dyDescent="0.3">
      <c r="B87" s="648">
        <f>'III. INPUT-Baseline'!B112</f>
        <v>0</v>
      </c>
      <c r="C87" s="177">
        <f>'III. INPUT-Baseline'!$D$86</f>
        <v>0</v>
      </c>
      <c r="D87" s="177">
        <f>'III. INPUT-Baseline'!D174</f>
        <v>0</v>
      </c>
      <c r="E87" s="178">
        <f>'V. Baseline Anaerobic CH4'!$C$63</f>
        <v>0</v>
      </c>
      <c r="F87" s="176">
        <f>'III. INPUT-Baseline'!$C$154</f>
        <v>0</v>
      </c>
      <c r="G87" s="176">
        <f>'III. INPUT-Baseline'!$C$112</f>
        <v>0</v>
      </c>
      <c r="H87" s="158">
        <f>C87*D87*E87*('III. INPUT-Baseline'!$G$48-'III. INPUT-Baseline'!$H$48)*F87*G87*0.68*0.001</f>
        <v>0</v>
      </c>
      <c r="I87" s="158">
        <f t="shared" si="5"/>
        <v>0</v>
      </c>
      <c r="J87" s="11"/>
    </row>
    <row r="88" spans="2:10" x14ac:dyDescent="0.3">
      <c r="B88" s="648">
        <f>'III. INPUT-Baseline'!B113</f>
        <v>0</v>
      </c>
      <c r="C88" s="177">
        <f>'III. INPUT-Baseline'!$E$86</f>
        <v>0</v>
      </c>
      <c r="D88" s="177">
        <f>'III. INPUT-Baseline'!E174</f>
        <v>0</v>
      </c>
      <c r="E88" s="178">
        <f>'III. INPUT-Baseline'!$D$99</f>
        <v>0</v>
      </c>
      <c r="F88" s="176">
        <f>'III. INPUT-Baseline'!$C$154</f>
        <v>0</v>
      </c>
      <c r="G88" s="176">
        <f>'III. INPUT-Baseline'!$C$113</f>
        <v>0</v>
      </c>
      <c r="H88" s="158">
        <f>C88*D88*E88*('III. INPUT-Baseline'!$G$48-'III. INPUT-Baseline'!$H$48)*F88*G88*0.68*0.001</f>
        <v>0</v>
      </c>
      <c r="I88" s="158">
        <f t="shared" si="5"/>
        <v>0</v>
      </c>
      <c r="J88" s="11"/>
    </row>
    <row r="89" spans="2:10" x14ac:dyDescent="0.3">
      <c r="B89" s="648">
        <f>'III. INPUT-Baseline'!B114</f>
        <v>0</v>
      </c>
      <c r="C89" s="177">
        <f>'III. INPUT-Baseline'!$F$86</f>
        <v>0</v>
      </c>
      <c r="D89" s="177">
        <f>'III. INPUT-Baseline'!F174</f>
        <v>0</v>
      </c>
      <c r="E89" s="178">
        <f>'III. INPUT-Baseline'!$D$100</f>
        <v>0</v>
      </c>
      <c r="F89" s="176">
        <f>'III. INPUT-Baseline'!$C$154</f>
        <v>0</v>
      </c>
      <c r="G89" s="176">
        <f>'III. INPUT-Baseline'!$C$114</f>
        <v>0</v>
      </c>
      <c r="H89" s="158">
        <f>C89*D89*E89*('III. INPUT-Baseline'!$G$48-'III. INPUT-Baseline'!$H$48)*F89*G89*0.68*0.001</f>
        <v>0</v>
      </c>
      <c r="I89" s="158">
        <f t="shared" si="5"/>
        <v>0</v>
      </c>
      <c r="J89" s="11"/>
    </row>
    <row r="90" spans="2:10" x14ac:dyDescent="0.3">
      <c r="B90" s="648">
        <f>'III. INPUT-Baseline'!B115</f>
        <v>0</v>
      </c>
      <c r="C90" s="177">
        <f>'III. INPUT-Baseline'!$G$86</f>
        <v>0</v>
      </c>
      <c r="D90" s="177">
        <f>'III. INPUT-Baseline'!G174</f>
        <v>0</v>
      </c>
      <c r="E90" s="178">
        <f>'III. INPUT-Baseline'!$D$101</f>
        <v>0</v>
      </c>
      <c r="F90" s="176">
        <f>'III. INPUT-Baseline'!$C$154</f>
        <v>0</v>
      </c>
      <c r="G90" s="176">
        <f>'III. INPUT-Baseline'!$C$115</f>
        <v>0</v>
      </c>
      <c r="H90" s="158">
        <f>C90*D90*E90*('III. INPUT-Baseline'!$G$48-'III. INPUT-Baseline'!$H$48)*F90*G90*0.68*0.001</f>
        <v>0</v>
      </c>
      <c r="I90" s="158">
        <f t="shared" si="5"/>
        <v>0</v>
      </c>
      <c r="J90" s="11"/>
    </row>
    <row r="91" spans="2:10" x14ac:dyDescent="0.3">
      <c r="B91" s="648">
        <f>'III. INPUT-Baseline'!B116</f>
        <v>0</v>
      </c>
      <c r="C91" s="177">
        <f>'III. INPUT-Baseline'!$H$86</f>
        <v>0</v>
      </c>
      <c r="D91" s="177">
        <f>'III. INPUT-Baseline'!H174</f>
        <v>0</v>
      </c>
      <c r="E91" s="178">
        <f>'III. INPUT-Baseline'!$D$102</f>
        <v>0</v>
      </c>
      <c r="F91" s="176">
        <f>'III. INPUT-Baseline'!$C$154</f>
        <v>0</v>
      </c>
      <c r="G91" s="176">
        <f>'III. INPUT-Baseline'!$C$116</f>
        <v>0</v>
      </c>
      <c r="H91" s="158">
        <f>C91*D91*E91*('III. INPUT-Baseline'!$G$48-'III. INPUT-Baseline'!$H$48)*F91*G91*0.68*0.001</f>
        <v>0</v>
      </c>
      <c r="I91" s="158">
        <f t="shared" si="5"/>
        <v>0</v>
      </c>
      <c r="J91" s="11"/>
    </row>
    <row r="92" spans="2:10" x14ac:dyDescent="0.3">
      <c r="B92" s="648">
        <f>'III. INPUT-Baseline'!B117</f>
        <v>0</v>
      </c>
      <c r="C92" s="177">
        <f>'III. INPUT-Baseline'!$I$86</f>
        <v>0</v>
      </c>
      <c r="D92" s="177">
        <f>'III. INPUT-Baseline'!I174</f>
        <v>0</v>
      </c>
      <c r="E92" s="178">
        <f>'III. INPUT-Baseline'!$D$103</f>
        <v>0</v>
      </c>
      <c r="F92" s="176">
        <f>'III. INPUT-Baseline'!$C$154</f>
        <v>0</v>
      </c>
      <c r="G92" s="176">
        <f>'III. INPUT-Baseline'!$C$117</f>
        <v>0</v>
      </c>
      <c r="H92" s="158">
        <f>C92*D92*E92*('III. INPUT-Baseline'!$G$48-'III. INPUT-Baseline'!$H$48)*F92*G92*0.68*0.001</f>
        <v>0</v>
      </c>
      <c r="I92" s="158">
        <f t="shared" si="5"/>
        <v>0</v>
      </c>
      <c r="J92" s="11"/>
    </row>
    <row r="93" spans="2:10" x14ac:dyDescent="0.3">
      <c r="B93" s="648">
        <f>'III. INPUT-Baseline'!B118</f>
        <v>0</v>
      </c>
      <c r="C93" s="177">
        <f>'III. INPUT-Baseline'!$J$86</f>
        <v>0</v>
      </c>
      <c r="D93" s="177">
        <f>'III. INPUT-Baseline'!J174</f>
        <v>0</v>
      </c>
      <c r="E93" s="178">
        <f>'III. INPUT-Baseline'!$D$104</f>
        <v>0</v>
      </c>
      <c r="F93" s="176">
        <f>'III. INPUT-Baseline'!$C$154</f>
        <v>0</v>
      </c>
      <c r="G93" s="176">
        <f>'III. INPUT-Baseline'!$C$118</f>
        <v>0</v>
      </c>
      <c r="H93" s="158">
        <f>C93*D93*E93*('III. INPUT-Baseline'!$G$48-'III. INPUT-Baseline'!$H$48)*F93*G93*0.68*0.001</f>
        <v>0</v>
      </c>
      <c r="I93" s="158">
        <f t="shared" si="5"/>
        <v>0</v>
      </c>
      <c r="J93" s="11"/>
    </row>
    <row r="94" spans="2:10" x14ac:dyDescent="0.3">
      <c r="B94" s="648">
        <f>'III. INPUT-Baseline'!B119</f>
        <v>0</v>
      </c>
      <c r="C94" s="177">
        <f>'III. INPUT-Baseline'!$K$86</f>
        <v>0</v>
      </c>
      <c r="D94" s="177">
        <f>'III. INPUT-Baseline'!K174</f>
        <v>0</v>
      </c>
      <c r="E94" s="178">
        <f>'III. INPUT-Baseline'!$D$105</f>
        <v>0</v>
      </c>
      <c r="F94" s="177">
        <f>'III. INPUT-Baseline'!$C$154</f>
        <v>0</v>
      </c>
      <c r="G94" s="177">
        <f>'III. INPUT-Baseline'!$C$119</f>
        <v>0</v>
      </c>
      <c r="H94" s="158">
        <f>C94*D94*E94*('III. INPUT-Baseline'!$G$48-'III. INPUT-Baseline'!$H$48)*F94*G94*0.68*0.001</f>
        <v>0</v>
      </c>
      <c r="I94" s="158">
        <f t="shared" si="5"/>
        <v>0</v>
      </c>
      <c r="J94" s="11"/>
    </row>
    <row r="95" spans="2:10" x14ac:dyDescent="0.3">
      <c r="B95" s="648">
        <f>'III. INPUT-Baseline'!B120</f>
        <v>0</v>
      </c>
      <c r="C95" s="177">
        <f>'III. INPUT-Baseline'!$L$86</f>
        <v>0</v>
      </c>
      <c r="D95" s="177">
        <f>'III. INPUT-Baseline'!L174</f>
        <v>0</v>
      </c>
      <c r="E95" s="178">
        <f>'III. INPUT-Baseline'!$D$106</f>
        <v>0</v>
      </c>
      <c r="F95" s="176">
        <f>'III. INPUT-Baseline'!$C$154</f>
        <v>0</v>
      </c>
      <c r="G95" s="176">
        <f>'III. INPUT-Baseline'!$C$120</f>
        <v>0</v>
      </c>
      <c r="H95" s="158">
        <f>C95*D95*E95*('III. INPUT-Baseline'!$G$48-'III. INPUT-Baseline'!$H$48)*F95*G95*0.68*0.001</f>
        <v>0</v>
      </c>
      <c r="I95" s="158">
        <f t="shared" si="5"/>
        <v>0</v>
      </c>
      <c r="J95" s="11"/>
    </row>
    <row r="96" spans="2:10" x14ac:dyDescent="0.3">
      <c r="B96" s="654" t="s">
        <v>449</v>
      </c>
      <c r="C96" s="655"/>
      <c r="D96" s="655"/>
      <c r="E96" s="655"/>
      <c r="F96" s="655"/>
      <c r="G96" s="655"/>
      <c r="H96" s="605">
        <f>SUM(H86:H95)</f>
        <v>0</v>
      </c>
      <c r="I96" s="605">
        <f>SUM(I86:I95)</f>
        <v>0</v>
      </c>
      <c r="J96" s="11"/>
    </row>
    <row r="97" spans="2:10" x14ac:dyDescent="0.3">
      <c r="H97" s="61"/>
      <c r="I97" s="61"/>
      <c r="J97" s="11"/>
    </row>
    <row r="98" spans="2:10" x14ac:dyDescent="0.3">
      <c r="B98" s="649">
        <f>'III. INPUT-Baseline'!C131</f>
        <v>0</v>
      </c>
      <c r="H98" s="39"/>
      <c r="J98" s="11"/>
    </row>
    <row r="99" spans="2:10" s="4" customFormat="1" ht="16" x14ac:dyDescent="0.4">
      <c r="B99" s="136" t="s">
        <v>441</v>
      </c>
      <c r="C99" s="136" t="s">
        <v>442</v>
      </c>
      <c r="D99" s="136" t="s">
        <v>443</v>
      </c>
      <c r="E99" s="136" t="s">
        <v>444</v>
      </c>
      <c r="F99" s="136" t="s">
        <v>445</v>
      </c>
      <c r="G99" s="136" t="s">
        <v>446</v>
      </c>
      <c r="H99" s="591" t="s">
        <v>447</v>
      </c>
      <c r="I99" s="591" t="s">
        <v>448</v>
      </c>
    </row>
    <row r="100" spans="2:10" x14ac:dyDescent="0.3">
      <c r="B100" s="648">
        <f>'III. INPUT-Baseline'!B111</f>
        <v>0</v>
      </c>
      <c r="C100" s="177">
        <f>'III. INPUT-Baseline'!$C$86</f>
        <v>0</v>
      </c>
      <c r="D100" s="177">
        <f>'III. INPUT-Baseline'!C175</f>
        <v>0</v>
      </c>
      <c r="E100" s="178">
        <f>'V. Baseline Anaerobic CH4'!$C$19</f>
        <v>0</v>
      </c>
      <c r="F100" s="177">
        <f>'III. INPUT-Baseline'!$C$155</f>
        <v>0</v>
      </c>
      <c r="G100" s="177">
        <f>'III. INPUT-Baseline'!$C$111</f>
        <v>0</v>
      </c>
      <c r="H100" s="158">
        <f>C100*D100*E100*('III. INPUT-Baseline'!$G$48-'III. INPUT-Baseline'!$H$48)*F100*G100*0.68*0.001</f>
        <v>0</v>
      </c>
      <c r="I100" s="158">
        <f t="shared" ref="I100:I109" si="6">H100*gwp_ch4</f>
        <v>0</v>
      </c>
      <c r="J100" s="11"/>
    </row>
    <row r="101" spans="2:10" x14ac:dyDescent="0.3">
      <c r="B101" s="648">
        <f>'III. INPUT-Baseline'!B112</f>
        <v>0</v>
      </c>
      <c r="C101" s="177">
        <f>'III. INPUT-Baseline'!$D$86</f>
        <v>0</v>
      </c>
      <c r="D101" s="177">
        <f>'III. INPUT-Baseline'!D175</f>
        <v>0</v>
      </c>
      <c r="E101" s="178">
        <f>'V. Baseline Anaerobic CH4'!$C$63</f>
        <v>0</v>
      </c>
      <c r="F101" s="176">
        <f>'III. INPUT-Baseline'!$C$155</f>
        <v>0</v>
      </c>
      <c r="G101" s="176">
        <f>'III. INPUT-Baseline'!$C$112</f>
        <v>0</v>
      </c>
      <c r="H101" s="158">
        <f>C101*D101*E101*('III. INPUT-Baseline'!$G$48-'III. INPUT-Baseline'!$H$48)*F101*G101*0.68*0.001</f>
        <v>0</v>
      </c>
      <c r="I101" s="158">
        <f t="shared" si="6"/>
        <v>0</v>
      </c>
      <c r="J101" s="11"/>
    </row>
    <row r="102" spans="2:10" x14ac:dyDescent="0.3">
      <c r="B102" s="648">
        <f>'III. INPUT-Baseline'!B113</f>
        <v>0</v>
      </c>
      <c r="C102" s="177">
        <f>'III. INPUT-Baseline'!$E$86</f>
        <v>0</v>
      </c>
      <c r="D102" s="177">
        <f>'III. INPUT-Baseline'!E175</f>
        <v>0</v>
      </c>
      <c r="E102" s="178">
        <f>'III. INPUT-Baseline'!$D$99</f>
        <v>0</v>
      </c>
      <c r="F102" s="176">
        <f>'III. INPUT-Baseline'!$C$155</f>
        <v>0</v>
      </c>
      <c r="G102" s="176">
        <f>'III. INPUT-Baseline'!$C$113</f>
        <v>0</v>
      </c>
      <c r="H102" s="158">
        <f>C102*D102*E102*('III. INPUT-Baseline'!$G$48-'III. INPUT-Baseline'!$H$48)*F102*G102*0.68*0.001</f>
        <v>0</v>
      </c>
      <c r="I102" s="158">
        <f t="shared" si="6"/>
        <v>0</v>
      </c>
      <c r="J102" s="11"/>
    </row>
    <row r="103" spans="2:10" x14ac:dyDescent="0.3">
      <c r="B103" s="648">
        <f>'III. INPUT-Baseline'!B114</f>
        <v>0</v>
      </c>
      <c r="C103" s="177">
        <f>'III. INPUT-Baseline'!$F$86</f>
        <v>0</v>
      </c>
      <c r="D103" s="177">
        <f>'III. INPUT-Baseline'!F175</f>
        <v>0</v>
      </c>
      <c r="E103" s="178">
        <f>'III. INPUT-Baseline'!$D$100</f>
        <v>0</v>
      </c>
      <c r="F103" s="176">
        <f>'III. INPUT-Baseline'!$C$155</f>
        <v>0</v>
      </c>
      <c r="G103" s="176">
        <f>'III. INPUT-Baseline'!$C$114</f>
        <v>0</v>
      </c>
      <c r="H103" s="158">
        <f>C103*D103*E103*('III. INPUT-Baseline'!$G$48-'III. INPUT-Baseline'!$H$48)*F103*G103*0.68*0.001</f>
        <v>0</v>
      </c>
      <c r="I103" s="158">
        <f t="shared" si="6"/>
        <v>0</v>
      </c>
      <c r="J103" s="11"/>
    </row>
    <row r="104" spans="2:10" x14ac:dyDescent="0.3">
      <c r="B104" s="648">
        <f>'III. INPUT-Baseline'!B115</f>
        <v>0</v>
      </c>
      <c r="C104" s="177">
        <f>'III. INPUT-Baseline'!$G$86</f>
        <v>0</v>
      </c>
      <c r="D104" s="177">
        <f>'III. INPUT-Baseline'!G175</f>
        <v>0</v>
      </c>
      <c r="E104" s="178">
        <f>'III. INPUT-Baseline'!$D$101</f>
        <v>0</v>
      </c>
      <c r="F104" s="176">
        <f>'III. INPUT-Baseline'!$C$155</f>
        <v>0</v>
      </c>
      <c r="G104" s="176">
        <f>'III. INPUT-Baseline'!$C$115</f>
        <v>0</v>
      </c>
      <c r="H104" s="158">
        <f>C104*D104*E104*('III. INPUT-Baseline'!$G$48-'III. INPUT-Baseline'!$H$48)*F104*G104*0.68*0.001</f>
        <v>0</v>
      </c>
      <c r="I104" s="158">
        <f t="shared" si="6"/>
        <v>0</v>
      </c>
      <c r="J104" s="11"/>
    </row>
    <row r="105" spans="2:10" x14ac:dyDescent="0.3">
      <c r="B105" s="648">
        <f>'III. INPUT-Baseline'!B116</f>
        <v>0</v>
      </c>
      <c r="C105" s="177">
        <f>'III. INPUT-Baseline'!$H$86</f>
        <v>0</v>
      </c>
      <c r="D105" s="177">
        <f>'III. INPUT-Baseline'!H175</f>
        <v>0</v>
      </c>
      <c r="E105" s="178">
        <f>'III. INPUT-Baseline'!$D$102</f>
        <v>0</v>
      </c>
      <c r="F105" s="176">
        <f>'III. INPUT-Baseline'!$C$155</f>
        <v>0</v>
      </c>
      <c r="G105" s="176">
        <f>'III. INPUT-Baseline'!$C$116</f>
        <v>0</v>
      </c>
      <c r="H105" s="158">
        <f>C105*D105*E105*('III. INPUT-Baseline'!$G$48-'III. INPUT-Baseline'!$H$48)*F105*G105*0.68*0.001</f>
        <v>0</v>
      </c>
      <c r="I105" s="158">
        <f t="shared" si="6"/>
        <v>0</v>
      </c>
      <c r="J105" s="11"/>
    </row>
    <row r="106" spans="2:10" x14ac:dyDescent="0.3">
      <c r="B106" s="648">
        <f>'III. INPUT-Baseline'!B117</f>
        <v>0</v>
      </c>
      <c r="C106" s="177">
        <f>'III. INPUT-Baseline'!$I$86</f>
        <v>0</v>
      </c>
      <c r="D106" s="177">
        <f>'III. INPUT-Baseline'!I175</f>
        <v>0</v>
      </c>
      <c r="E106" s="178">
        <f>'III. INPUT-Baseline'!$D$103</f>
        <v>0</v>
      </c>
      <c r="F106" s="176">
        <f>'III. INPUT-Baseline'!$C$155</f>
        <v>0</v>
      </c>
      <c r="G106" s="176">
        <f>'III. INPUT-Baseline'!$C$117</f>
        <v>0</v>
      </c>
      <c r="H106" s="158">
        <f>C106*D106*E106*('III. INPUT-Baseline'!$G$48-'III. INPUT-Baseline'!$H$48)*F106*G106*0.68*0.001</f>
        <v>0</v>
      </c>
      <c r="I106" s="158">
        <f t="shared" si="6"/>
        <v>0</v>
      </c>
      <c r="J106" s="11"/>
    </row>
    <row r="107" spans="2:10" x14ac:dyDescent="0.3">
      <c r="B107" s="648">
        <f>'III. INPUT-Baseline'!B118</f>
        <v>0</v>
      </c>
      <c r="C107" s="177">
        <f>'III. INPUT-Baseline'!$J$86</f>
        <v>0</v>
      </c>
      <c r="D107" s="177">
        <f>'III. INPUT-Baseline'!J175</f>
        <v>0</v>
      </c>
      <c r="E107" s="178">
        <f>'III. INPUT-Baseline'!$D$104</f>
        <v>0</v>
      </c>
      <c r="F107" s="176">
        <f>'III. INPUT-Baseline'!$C$155</f>
        <v>0</v>
      </c>
      <c r="G107" s="176">
        <f>'III. INPUT-Baseline'!$C$118</f>
        <v>0</v>
      </c>
      <c r="H107" s="158">
        <f>C107*D107*E107*('III. INPUT-Baseline'!$G$48-'III. INPUT-Baseline'!$H$48)*F107*G107*0.68*0.001</f>
        <v>0</v>
      </c>
      <c r="I107" s="158">
        <f t="shared" si="6"/>
        <v>0</v>
      </c>
      <c r="J107" s="11"/>
    </row>
    <row r="108" spans="2:10" x14ac:dyDescent="0.3">
      <c r="B108" s="648">
        <f>'III. INPUT-Baseline'!B119</f>
        <v>0</v>
      </c>
      <c r="C108" s="177">
        <f>'III. INPUT-Baseline'!$K$86</f>
        <v>0</v>
      </c>
      <c r="D108" s="177">
        <f>'III. INPUT-Baseline'!K175</f>
        <v>0</v>
      </c>
      <c r="E108" s="178">
        <f>'III. INPUT-Baseline'!$D$105</f>
        <v>0</v>
      </c>
      <c r="F108" s="176">
        <f>'III. INPUT-Baseline'!$C$155</f>
        <v>0</v>
      </c>
      <c r="G108" s="176">
        <f>'III. INPUT-Baseline'!$C$119</f>
        <v>0</v>
      </c>
      <c r="H108" s="158">
        <f>C108*D108*E108*('III. INPUT-Baseline'!$G$48-'III. INPUT-Baseline'!$H$48)*F108*G108*0.68*0.001</f>
        <v>0</v>
      </c>
      <c r="I108" s="158">
        <f t="shared" si="6"/>
        <v>0</v>
      </c>
      <c r="J108" s="11"/>
    </row>
    <row r="109" spans="2:10" x14ac:dyDescent="0.3">
      <c r="B109" s="648">
        <f>'III. INPUT-Baseline'!B120</f>
        <v>0</v>
      </c>
      <c r="C109" s="177">
        <f>'III. INPUT-Baseline'!$L$86</f>
        <v>0</v>
      </c>
      <c r="D109" s="177">
        <f>'III. INPUT-Baseline'!L175</f>
        <v>0</v>
      </c>
      <c r="E109" s="178">
        <f>'III. INPUT-Baseline'!$D$106</f>
        <v>0</v>
      </c>
      <c r="F109" s="176">
        <f>'III. INPUT-Baseline'!$C$155</f>
        <v>0</v>
      </c>
      <c r="G109" s="176">
        <f>'III. INPUT-Baseline'!$C$120</f>
        <v>0</v>
      </c>
      <c r="H109" s="158">
        <f>C109*D109*E109*('III. INPUT-Baseline'!$G$48-'III. INPUT-Baseline'!$H$48)*F109*G109*0.68*0.001</f>
        <v>0</v>
      </c>
      <c r="I109" s="158">
        <f t="shared" si="6"/>
        <v>0</v>
      </c>
      <c r="J109" s="11"/>
    </row>
    <row r="110" spans="2:10" x14ac:dyDescent="0.3">
      <c r="B110" s="651" t="s">
        <v>449</v>
      </c>
      <c r="C110" s="652"/>
      <c r="D110" s="652"/>
      <c r="E110" s="652"/>
      <c r="F110" s="652"/>
      <c r="G110" s="653"/>
      <c r="H110" s="623">
        <f>SUM(H100:H109)</f>
        <v>0</v>
      </c>
      <c r="I110" s="623">
        <f>SUM(I100:I109)</f>
        <v>0</v>
      </c>
      <c r="J110" s="11"/>
    </row>
    <row r="111" spans="2:10" x14ac:dyDescent="0.3">
      <c r="H111" s="61"/>
      <c r="I111" s="61"/>
      <c r="J111" s="11"/>
    </row>
    <row r="112" spans="2:10" x14ac:dyDescent="0.3">
      <c r="B112" s="649">
        <f>'III. INPUT-Baseline'!C132</f>
        <v>0</v>
      </c>
      <c r="H112" s="39"/>
      <c r="J112" s="11"/>
    </row>
    <row r="113" spans="2:10" s="4" customFormat="1" ht="16" x14ac:dyDescent="0.4">
      <c r="B113" s="136" t="s">
        <v>441</v>
      </c>
      <c r="C113" s="136" t="s">
        <v>442</v>
      </c>
      <c r="D113" s="136" t="s">
        <v>443</v>
      </c>
      <c r="E113" s="136" t="s">
        <v>444</v>
      </c>
      <c r="F113" s="136" t="s">
        <v>445</v>
      </c>
      <c r="G113" s="136" t="s">
        <v>446</v>
      </c>
      <c r="H113" s="591" t="s">
        <v>447</v>
      </c>
      <c r="I113" s="591" t="s">
        <v>448</v>
      </c>
    </row>
    <row r="114" spans="2:10" x14ac:dyDescent="0.3">
      <c r="B114" s="648">
        <f>'III. INPUT-Baseline'!B111</f>
        <v>0</v>
      </c>
      <c r="C114" s="177">
        <f>'III. INPUT-Baseline'!$C$86</f>
        <v>0</v>
      </c>
      <c r="D114" s="177">
        <f>'III. INPUT-Baseline'!C176</f>
        <v>0</v>
      </c>
      <c r="E114" s="178">
        <f>'V. Baseline Anaerobic CH4'!$C$19</f>
        <v>0</v>
      </c>
      <c r="F114" s="177">
        <f>'III. INPUT-Baseline'!$C$156</f>
        <v>0</v>
      </c>
      <c r="G114" s="177">
        <f>'III. INPUT-Baseline'!$C$111</f>
        <v>0</v>
      </c>
      <c r="H114" s="158">
        <f>C114*D114*E114*('III. INPUT-Baseline'!$G$48-'III. INPUT-Baseline'!$H$48)*F114*G114*0.68*0.001</f>
        <v>0</v>
      </c>
      <c r="I114" s="158">
        <f t="shared" ref="I114:I123" si="7">H114*gwp_ch4</f>
        <v>0</v>
      </c>
      <c r="J114" s="11"/>
    </row>
    <row r="115" spans="2:10" x14ac:dyDescent="0.3">
      <c r="B115" s="648">
        <f>'III. INPUT-Baseline'!B112</f>
        <v>0</v>
      </c>
      <c r="C115" s="177">
        <f>'III. INPUT-Baseline'!$D$86</f>
        <v>0</v>
      </c>
      <c r="D115" s="177">
        <f>'III. INPUT-Baseline'!D176</f>
        <v>0</v>
      </c>
      <c r="E115" s="178">
        <f>'V. Baseline Anaerobic CH4'!$C$63</f>
        <v>0</v>
      </c>
      <c r="F115" s="176">
        <f>'III. INPUT-Baseline'!$C$156</f>
        <v>0</v>
      </c>
      <c r="G115" s="176">
        <f>'III. INPUT-Baseline'!$C$112</f>
        <v>0</v>
      </c>
      <c r="H115" s="158">
        <f>C115*D115*E115*('III. INPUT-Baseline'!$G$48-'III. INPUT-Baseline'!$H$48)*F115*G115*0.68*0.001</f>
        <v>0</v>
      </c>
      <c r="I115" s="158">
        <f t="shared" si="7"/>
        <v>0</v>
      </c>
      <c r="J115" s="11"/>
    </row>
    <row r="116" spans="2:10" x14ac:dyDescent="0.3">
      <c r="B116" s="648">
        <f>'III. INPUT-Baseline'!B113</f>
        <v>0</v>
      </c>
      <c r="C116" s="177">
        <f>'III. INPUT-Baseline'!$E$86</f>
        <v>0</v>
      </c>
      <c r="D116" s="177">
        <f>'III. INPUT-Baseline'!E176</f>
        <v>0</v>
      </c>
      <c r="E116" s="178">
        <f>'III. INPUT-Baseline'!$D$99</f>
        <v>0</v>
      </c>
      <c r="F116" s="176">
        <f>'III. INPUT-Baseline'!$C$156</f>
        <v>0</v>
      </c>
      <c r="G116" s="176">
        <f>'III. INPUT-Baseline'!$C$113</f>
        <v>0</v>
      </c>
      <c r="H116" s="158">
        <f>C116*D116*E116*('III. INPUT-Baseline'!$G$48-'III. INPUT-Baseline'!$H$48)*F116*G116*0.68*0.001</f>
        <v>0</v>
      </c>
      <c r="I116" s="158">
        <f t="shared" si="7"/>
        <v>0</v>
      </c>
      <c r="J116" s="11"/>
    </row>
    <row r="117" spans="2:10" x14ac:dyDescent="0.3">
      <c r="B117" s="648">
        <f>'III. INPUT-Baseline'!B114</f>
        <v>0</v>
      </c>
      <c r="C117" s="177">
        <f>'III. INPUT-Baseline'!$F$86</f>
        <v>0</v>
      </c>
      <c r="D117" s="177">
        <f>'III. INPUT-Baseline'!F176</f>
        <v>0</v>
      </c>
      <c r="E117" s="178">
        <f>'III. INPUT-Baseline'!$D$100</f>
        <v>0</v>
      </c>
      <c r="F117" s="176">
        <f>'III. INPUT-Baseline'!$C$156</f>
        <v>0</v>
      </c>
      <c r="G117" s="176">
        <f>'III. INPUT-Baseline'!$C$114</f>
        <v>0</v>
      </c>
      <c r="H117" s="158">
        <f>C117*D117*E117*('III. INPUT-Baseline'!$G$48-'III. INPUT-Baseline'!$H$48)*F117*G117*0.68*0.001</f>
        <v>0</v>
      </c>
      <c r="I117" s="158">
        <f t="shared" si="7"/>
        <v>0</v>
      </c>
      <c r="J117" s="11"/>
    </row>
    <row r="118" spans="2:10" x14ac:dyDescent="0.3">
      <c r="B118" s="648">
        <f>'III. INPUT-Baseline'!B115</f>
        <v>0</v>
      </c>
      <c r="C118" s="177">
        <f>'III. INPUT-Baseline'!$G$86</f>
        <v>0</v>
      </c>
      <c r="D118" s="177">
        <f>'III. INPUT-Baseline'!G176</f>
        <v>0</v>
      </c>
      <c r="E118" s="178">
        <f>'III. INPUT-Baseline'!$D$101</f>
        <v>0</v>
      </c>
      <c r="F118" s="176">
        <f>'III. INPUT-Baseline'!$C$156</f>
        <v>0</v>
      </c>
      <c r="G118" s="176">
        <f>'III. INPUT-Baseline'!$C$115</f>
        <v>0</v>
      </c>
      <c r="H118" s="158">
        <f>C118*D118*E118*('III. INPUT-Baseline'!$G$48-'III. INPUT-Baseline'!$H$48)*F118*G118*0.68*0.001</f>
        <v>0</v>
      </c>
      <c r="I118" s="158">
        <f t="shared" si="7"/>
        <v>0</v>
      </c>
      <c r="J118" s="11"/>
    </row>
    <row r="119" spans="2:10" x14ac:dyDescent="0.3">
      <c r="B119" s="648">
        <f>'III. INPUT-Baseline'!B116</f>
        <v>0</v>
      </c>
      <c r="C119" s="177">
        <f>'III. INPUT-Baseline'!$H$86</f>
        <v>0</v>
      </c>
      <c r="D119" s="177">
        <f>'III. INPUT-Baseline'!H176</f>
        <v>0</v>
      </c>
      <c r="E119" s="178">
        <f>'III. INPUT-Baseline'!$D$102</f>
        <v>0</v>
      </c>
      <c r="F119" s="176">
        <f>'III. INPUT-Baseline'!$C$156</f>
        <v>0</v>
      </c>
      <c r="G119" s="176">
        <f>'III. INPUT-Baseline'!$C$116</f>
        <v>0</v>
      </c>
      <c r="H119" s="158">
        <f>C119*D119*E119*('III. INPUT-Baseline'!$G$48-'III. INPUT-Baseline'!$H$48)*F119*G119*0.68*0.001</f>
        <v>0</v>
      </c>
      <c r="I119" s="158">
        <f t="shared" si="7"/>
        <v>0</v>
      </c>
      <c r="J119" s="11"/>
    </row>
    <row r="120" spans="2:10" x14ac:dyDescent="0.3">
      <c r="B120" s="648">
        <f>'III. INPUT-Baseline'!B117</f>
        <v>0</v>
      </c>
      <c r="C120" s="177">
        <f>'III. INPUT-Baseline'!$I$86</f>
        <v>0</v>
      </c>
      <c r="D120" s="177">
        <f>'III. INPUT-Baseline'!I176</f>
        <v>0</v>
      </c>
      <c r="E120" s="178">
        <f>'III. INPUT-Baseline'!$D$103</f>
        <v>0</v>
      </c>
      <c r="F120" s="176">
        <f>'III. INPUT-Baseline'!$C$156</f>
        <v>0</v>
      </c>
      <c r="G120" s="176">
        <f>'III. INPUT-Baseline'!$C$117</f>
        <v>0</v>
      </c>
      <c r="H120" s="158">
        <f>C120*D120*E120*('III. INPUT-Baseline'!$G$48-'III. INPUT-Baseline'!$H$48)*F120*G120*0.68*0.001</f>
        <v>0</v>
      </c>
      <c r="I120" s="158">
        <f t="shared" si="7"/>
        <v>0</v>
      </c>
      <c r="J120" s="11"/>
    </row>
    <row r="121" spans="2:10" x14ac:dyDescent="0.3">
      <c r="B121" s="648">
        <f>'III. INPUT-Baseline'!B118</f>
        <v>0</v>
      </c>
      <c r="C121" s="177">
        <f>'III. INPUT-Baseline'!$J$86</f>
        <v>0</v>
      </c>
      <c r="D121" s="177">
        <f>'III. INPUT-Baseline'!J176</f>
        <v>0</v>
      </c>
      <c r="E121" s="178">
        <f>'III. INPUT-Baseline'!$D$104</f>
        <v>0</v>
      </c>
      <c r="F121" s="176">
        <f>'III. INPUT-Baseline'!$C$156</f>
        <v>0</v>
      </c>
      <c r="G121" s="176">
        <f>'III. INPUT-Baseline'!$C$118</f>
        <v>0</v>
      </c>
      <c r="H121" s="158">
        <f>C121*D121*E121*('III. INPUT-Baseline'!$G$48-'III. INPUT-Baseline'!$H$48)*F121*G121*0.68*0.001</f>
        <v>0</v>
      </c>
      <c r="I121" s="158">
        <f t="shared" si="7"/>
        <v>0</v>
      </c>
      <c r="J121" s="11"/>
    </row>
    <row r="122" spans="2:10" x14ac:dyDescent="0.3">
      <c r="B122" s="648">
        <f>'III. INPUT-Baseline'!B119</f>
        <v>0</v>
      </c>
      <c r="C122" s="177">
        <f>'III. INPUT-Baseline'!$K$86</f>
        <v>0</v>
      </c>
      <c r="D122" s="177">
        <f>'III. INPUT-Baseline'!K176</f>
        <v>0</v>
      </c>
      <c r="E122" s="178">
        <f>'III. INPUT-Baseline'!$D$105</f>
        <v>0</v>
      </c>
      <c r="F122" s="176">
        <f>'III. INPUT-Baseline'!$C$156</f>
        <v>0</v>
      </c>
      <c r="G122" s="176">
        <f>'III. INPUT-Baseline'!$C$119</f>
        <v>0</v>
      </c>
      <c r="H122" s="158">
        <f>C122*D122*E122*('III. INPUT-Baseline'!$G$48-'III. INPUT-Baseline'!$H$48)*F122*G122*0.68*0.001</f>
        <v>0</v>
      </c>
      <c r="I122" s="158">
        <f t="shared" si="7"/>
        <v>0</v>
      </c>
      <c r="J122" s="11"/>
    </row>
    <row r="123" spans="2:10" x14ac:dyDescent="0.3">
      <c r="B123" s="648">
        <f>'III. INPUT-Baseline'!B120</f>
        <v>0</v>
      </c>
      <c r="C123" s="177">
        <f>'III. INPUT-Baseline'!$L$86</f>
        <v>0</v>
      </c>
      <c r="D123" s="177">
        <f>'III. INPUT-Baseline'!L176</f>
        <v>0</v>
      </c>
      <c r="E123" s="178">
        <f>'III. INPUT-Baseline'!$D$106</f>
        <v>0</v>
      </c>
      <c r="F123" s="176">
        <f>'III. INPUT-Baseline'!$C$156</f>
        <v>0</v>
      </c>
      <c r="G123" s="176">
        <f>'III. INPUT-Baseline'!$C$120</f>
        <v>0</v>
      </c>
      <c r="H123" s="158">
        <f>C123*D123*E123*('III. INPUT-Baseline'!$G$48-'III. INPUT-Baseline'!$H$48)*F123*G123*0.68*0.001</f>
        <v>0</v>
      </c>
      <c r="I123" s="158">
        <f t="shared" si="7"/>
        <v>0</v>
      </c>
      <c r="J123" s="11"/>
    </row>
    <row r="124" spans="2:10" x14ac:dyDescent="0.3">
      <c r="B124" s="651" t="s">
        <v>449</v>
      </c>
      <c r="C124" s="652"/>
      <c r="D124" s="652"/>
      <c r="E124" s="652"/>
      <c r="F124" s="652"/>
      <c r="G124" s="653"/>
      <c r="H124" s="623">
        <f>SUM(H114:H123)</f>
        <v>0</v>
      </c>
      <c r="I124" s="623">
        <f>SUM(I114:I123)</f>
        <v>0</v>
      </c>
      <c r="J124" s="11"/>
    </row>
    <row r="125" spans="2:10" x14ac:dyDescent="0.3">
      <c r="H125" s="61"/>
      <c r="I125" s="61"/>
      <c r="J125" s="11"/>
    </row>
    <row r="126" spans="2:10" x14ac:dyDescent="0.3">
      <c r="B126" s="649">
        <f>'III. INPUT-Baseline'!C133</f>
        <v>0</v>
      </c>
      <c r="H126" s="39"/>
      <c r="J126" s="11"/>
    </row>
    <row r="127" spans="2:10" s="4" customFormat="1" ht="16" x14ac:dyDescent="0.4">
      <c r="B127" s="136" t="s">
        <v>441</v>
      </c>
      <c r="C127" s="136" t="s">
        <v>442</v>
      </c>
      <c r="D127" s="136" t="s">
        <v>443</v>
      </c>
      <c r="E127" s="136" t="s">
        <v>444</v>
      </c>
      <c r="F127" s="136" t="s">
        <v>445</v>
      </c>
      <c r="G127" s="136" t="s">
        <v>446</v>
      </c>
      <c r="H127" s="591" t="s">
        <v>447</v>
      </c>
      <c r="I127" s="591" t="s">
        <v>448</v>
      </c>
    </row>
    <row r="128" spans="2:10" x14ac:dyDescent="0.3">
      <c r="B128" s="648">
        <f>'III. INPUT-Baseline'!B111</f>
        <v>0</v>
      </c>
      <c r="C128" s="177">
        <f>'III. INPUT-Baseline'!$C$86</f>
        <v>0</v>
      </c>
      <c r="D128" s="177">
        <f>'III. INPUT-Baseline'!C177</f>
        <v>0</v>
      </c>
      <c r="E128" s="178">
        <f>'V. Baseline Anaerobic CH4'!$C$19</f>
        <v>0</v>
      </c>
      <c r="F128" s="177">
        <f>'III. INPUT-Baseline'!$C$157</f>
        <v>0</v>
      </c>
      <c r="G128" s="177">
        <f>'III. INPUT-Baseline'!$C$111</f>
        <v>0</v>
      </c>
      <c r="H128" s="158">
        <f>C128*D128*E128*('III. INPUT-Baseline'!$G$48-'III. INPUT-Baseline'!$H$48)*F128*G128*0.68*0.001</f>
        <v>0</v>
      </c>
      <c r="I128" s="158">
        <f t="shared" ref="I128:I137" si="8">H128*gwp_ch4</f>
        <v>0</v>
      </c>
      <c r="J128" s="11"/>
    </row>
    <row r="129" spans="2:10" x14ac:dyDescent="0.3">
      <c r="B129" s="648">
        <f>'III. INPUT-Baseline'!B112</f>
        <v>0</v>
      </c>
      <c r="C129" s="177">
        <f>'III. INPUT-Baseline'!$D$86</f>
        <v>0</v>
      </c>
      <c r="D129" s="177">
        <f>'III. INPUT-Baseline'!D177</f>
        <v>0</v>
      </c>
      <c r="E129" s="178">
        <f>'V. Baseline Anaerobic CH4'!$C$63</f>
        <v>0</v>
      </c>
      <c r="F129" s="176">
        <f>'III. INPUT-Baseline'!$C$157</f>
        <v>0</v>
      </c>
      <c r="G129" s="176">
        <f>'III. INPUT-Baseline'!$C$112</f>
        <v>0</v>
      </c>
      <c r="H129" s="158">
        <f>C129*D129*E129*('III. INPUT-Baseline'!$G$48-'III. INPUT-Baseline'!$H$48)*F129*G129*0.68*0.001</f>
        <v>0</v>
      </c>
      <c r="I129" s="158">
        <f t="shared" si="8"/>
        <v>0</v>
      </c>
      <c r="J129" s="11"/>
    </row>
    <row r="130" spans="2:10" x14ac:dyDescent="0.3">
      <c r="B130" s="648">
        <f>'III. INPUT-Baseline'!B113</f>
        <v>0</v>
      </c>
      <c r="C130" s="177">
        <f>'III. INPUT-Baseline'!$E$86</f>
        <v>0</v>
      </c>
      <c r="D130" s="177">
        <f>'III. INPUT-Baseline'!E177</f>
        <v>0</v>
      </c>
      <c r="E130" s="178">
        <f>'III. INPUT-Baseline'!$D$99</f>
        <v>0</v>
      </c>
      <c r="F130" s="176">
        <f>'III. INPUT-Baseline'!$C$157</f>
        <v>0</v>
      </c>
      <c r="G130" s="176">
        <f>'III. INPUT-Baseline'!$C$113</f>
        <v>0</v>
      </c>
      <c r="H130" s="158">
        <f>C130*D130*E130*('III. INPUT-Baseline'!$G$48-'III. INPUT-Baseline'!$H$48)*F130*G130*0.68*0.001</f>
        <v>0</v>
      </c>
      <c r="I130" s="158">
        <f t="shared" si="8"/>
        <v>0</v>
      </c>
      <c r="J130" s="11"/>
    </row>
    <row r="131" spans="2:10" x14ac:dyDescent="0.3">
      <c r="B131" s="648">
        <f>'III. INPUT-Baseline'!B114</f>
        <v>0</v>
      </c>
      <c r="C131" s="177">
        <f>'III. INPUT-Baseline'!$F$86</f>
        <v>0</v>
      </c>
      <c r="D131" s="177">
        <f>'III. INPUT-Baseline'!F177</f>
        <v>0</v>
      </c>
      <c r="E131" s="178">
        <f>'III. INPUT-Baseline'!$D$100</f>
        <v>0</v>
      </c>
      <c r="F131" s="176">
        <f>'III. INPUT-Baseline'!$C$157</f>
        <v>0</v>
      </c>
      <c r="G131" s="176">
        <f>'III. INPUT-Baseline'!$C$114</f>
        <v>0</v>
      </c>
      <c r="H131" s="158">
        <f>C131*D131*E131*('III. INPUT-Baseline'!$G$48-'III. INPUT-Baseline'!$H$48)*F131*G131*0.68*0.001</f>
        <v>0</v>
      </c>
      <c r="I131" s="158">
        <f t="shared" si="8"/>
        <v>0</v>
      </c>
      <c r="J131" s="11"/>
    </row>
    <row r="132" spans="2:10" x14ac:dyDescent="0.3">
      <c r="B132" s="648">
        <f>'III. INPUT-Baseline'!B115</f>
        <v>0</v>
      </c>
      <c r="C132" s="177">
        <f>'III. INPUT-Baseline'!$G$86</f>
        <v>0</v>
      </c>
      <c r="D132" s="177">
        <f>'III. INPUT-Baseline'!G177</f>
        <v>0</v>
      </c>
      <c r="E132" s="178">
        <f>'III. INPUT-Baseline'!$D$101</f>
        <v>0</v>
      </c>
      <c r="F132" s="176">
        <f>'III. INPUT-Baseline'!$C$157</f>
        <v>0</v>
      </c>
      <c r="G132" s="176">
        <f>'III. INPUT-Baseline'!$C$115</f>
        <v>0</v>
      </c>
      <c r="H132" s="158">
        <f>C132*D132*E132*('III. INPUT-Baseline'!$G$48-'III. INPUT-Baseline'!$H$48)*F132*G132*0.68*0.001</f>
        <v>0</v>
      </c>
      <c r="I132" s="158">
        <f t="shared" si="8"/>
        <v>0</v>
      </c>
      <c r="J132" s="11"/>
    </row>
    <row r="133" spans="2:10" x14ac:dyDescent="0.3">
      <c r="B133" s="648">
        <f>'III. INPUT-Baseline'!B116</f>
        <v>0</v>
      </c>
      <c r="C133" s="177">
        <f>'III. INPUT-Baseline'!$H$86</f>
        <v>0</v>
      </c>
      <c r="D133" s="177">
        <f>'III. INPUT-Baseline'!H177</f>
        <v>0</v>
      </c>
      <c r="E133" s="178">
        <f>'III. INPUT-Baseline'!$D$102</f>
        <v>0</v>
      </c>
      <c r="F133" s="176">
        <f>'III. INPUT-Baseline'!$C$157</f>
        <v>0</v>
      </c>
      <c r="G133" s="176">
        <f>'III. INPUT-Baseline'!$C$116</f>
        <v>0</v>
      </c>
      <c r="H133" s="158">
        <f>C133*D133*E133*('III. INPUT-Baseline'!$G$48-'III. INPUT-Baseline'!$H$48)*F133*G133*0.68*0.001</f>
        <v>0</v>
      </c>
      <c r="I133" s="158">
        <f t="shared" si="8"/>
        <v>0</v>
      </c>
      <c r="J133" s="11"/>
    </row>
    <row r="134" spans="2:10" x14ac:dyDescent="0.3">
      <c r="B134" s="648">
        <f>'III. INPUT-Baseline'!B117</f>
        <v>0</v>
      </c>
      <c r="C134" s="177">
        <f>'III. INPUT-Baseline'!$I$86</f>
        <v>0</v>
      </c>
      <c r="D134" s="177">
        <f>'III. INPUT-Baseline'!I177</f>
        <v>0</v>
      </c>
      <c r="E134" s="178">
        <f>'III. INPUT-Baseline'!$D$103</f>
        <v>0</v>
      </c>
      <c r="F134" s="176">
        <f>'III. INPUT-Baseline'!$C$157</f>
        <v>0</v>
      </c>
      <c r="G134" s="176">
        <f>'III. INPUT-Baseline'!$C$117</f>
        <v>0</v>
      </c>
      <c r="H134" s="158">
        <f>C134*D134*E134*('III. INPUT-Baseline'!$G$48-'III. INPUT-Baseline'!$H$48)*F134*G134*0.68*0.001</f>
        <v>0</v>
      </c>
      <c r="I134" s="158">
        <f t="shared" si="8"/>
        <v>0</v>
      </c>
      <c r="J134" s="11"/>
    </row>
    <row r="135" spans="2:10" x14ac:dyDescent="0.3">
      <c r="B135" s="648">
        <f>'III. INPUT-Baseline'!B118</f>
        <v>0</v>
      </c>
      <c r="C135" s="177">
        <f>'III. INPUT-Baseline'!$J$86</f>
        <v>0</v>
      </c>
      <c r="D135" s="177">
        <f>'III. INPUT-Baseline'!J177</f>
        <v>0</v>
      </c>
      <c r="E135" s="178">
        <f>'III. INPUT-Baseline'!$D$104</f>
        <v>0</v>
      </c>
      <c r="F135" s="176">
        <f>'III. INPUT-Baseline'!$C$157</f>
        <v>0</v>
      </c>
      <c r="G135" s="176">
        <f>'III. INPUT-Baseline'!$C$118</f>
        <v>0</v>
      </c>
      <c r="H135" s="158">
        <f>C135*D135*E135*('III. INPUT-Baseline'!$G$48-'III. INPUT-Baseline'!$H$48)*F135*G135*0.68*0.001</f>
        <v>0</v>
      </c>
      <c r="I135" s="158">
        <f t="shared" si="8"/>
        <v>0</v>
      </c>
      <c r="J135" s="11"/>
    </row>
    <row r="136" spans="2:10" x14ac:dyDescent="0.3">
      <c r="B136" s="648">
        <f>'III. INPUT-Baseline'!B119</f>
        <v>0</v>
      </c>
      <c r="C136" s="177">
        <f>'III. INPUT-Baseline'!$K$86</f>
        <v>0</v>
      </c>
      <c r="D136" s="177">
        <f>'III. INPUT-Baseline'!K177</f>
        <v>0</v>
      </c>
      <c r="E136" s="178">
        <f>'III. INPUT-Baseline'!$D$105</f>
        <v>0</v>
      </c>
      <c r="F136" s="176">
        <f>'III. INPUT-Baseline'!$C$157</f>
        <v>0</v>
      </c>
      <c r="G136" s="176">
        <f>'III. INPUT-Baseline'!$C$119</f>
        <v>0</v>
      </c>
      <c r="H136" s="158">
        <f>C136*D136*E136*('III. INPUT-Baseline'!$G$48-'III. INPUT-Baseline'!$H$48)*F136*G136*0.68*0.001</f>
        <v>0</v>
      </c>
      <c r="I136" s="158">
        <f t="shared" si="8"/>
        <v>0</v>
      </c>
      <c r="J136" s="11"/>
    </row>
    <row r="137" spans="2:10" x14ac:dyDescent="0.3">
      <c r="B137" s="648">
        <f>'III. INPUT-Baseline'!B120</f>
        <v>0</v>
      </c>
      <c r="C137" s="177">
        <f>'III. INPUT-Baseline'!$L$86</f>
        <v>0</v>
      </c>
      <c r="D137" s="177">
        <f>'III. INPUT-Baseline'!L177</f>
        <v>0</v>
      </c>
      <c r="E137" s="178">
        <f>'III. INPUT-Baseline'!$D$106</f>
        <v>0</v>
      </c>
      <c r="F137" s="176">
        <f>'III. INPUT-Baseline'!$C$157</f>
        <v>0</v>
      </c>
      <c r="G137" s="176">
        <f>'III. INPUT-Baseline'!$C$120</f>
        <v>0</v>
      </c>
      <c r="H137" s="158">
        <f>C137*D137*E137*('III. INPUT-Baseline'!$G$48-'III. INPUT-Baseline'!$H$48)*F137*G137*0.68*0.001</f>
        <v>0</v>
      </c>
      <c r="I137" s="158">
        <f t="shared" si="8"/>
        <v>0</v>
      </c>
      <c r="J137" s="11"/>
    </row>
    <row r="138" spans="2:10" x14ac:dyDescent="0.3">
      <c r="B138" s="651" t="s">
        <v>449</v>
      </c>
      <c r="C138" s="652"/>
      <c r="D138" s="652"/>
      <c r="E138" s="652"/>
      <c r="F138" s="652"/>
      <c r="G138" s="653"/>
      <c r="H138" s="623">
        <f>SUM(H128:H137)</f>
        <v>0</v>
      </c>
      <c r="I138" s="623">
        <f>SUM(I128:I137)</f>
        <v>0</v>
      </c>
      <c r="J138" s="11"/>
    </row>
    <row r="139" spans="2:10" x14ac:dyDescent="0.3">
      <c r="H139" s="61"/>
      <c r="I139" s="61"/>
      <c r="J139" s="11"/>
    </row>
    <row r="140" spans="2:10" x14ac:dyDescent="0.3">
      <c r="B140" s="649">
        <f>'III. INPUT-Baseline'!C134</f>
        <v>0</v>
      </c>
      <c r="H140" s="39"/>
      <c r="J140" s="11"/>
    </row>
    <row r="141" spans="2:10" s="4" customFormat="1" ht="16" x14ac:dyDescent="0.4">
      <c r="B141" s="136" t="s">
        <v>441</v>
      </c>
      <c r="C141" s="136" t="s">
        <v>442</v>
      </c>
      <c r="D141" s="136" t="s">
        <v>443</v>
      </c>
      <c r="E141" s="136" t="s">
        <v>444</v>
      </c>
      <c r="F141" s="136" t="s">
        <v>445</v>
      </c>
      <c r="G141" s="136" t="s">
        <v>446</v>
      </c>
      <c r="H141" s="591" t="s">
        <v>447</v>
      </c>
      <c r="I141" s="591" t="s">
        <v>448</v>
      </c>
    </row>
    <row r="142" spans="2:10" x14ac:dyDescent="0.3">
      <c r="B142" s="648">
        <f>'III. INPUT-Baseline'!B111</f>
        <v>0</v>
      </c>
      <c r="C142" s="177">
        <f>'III. INPUT-Baseline'!$C$86</f>
        <v>0</v>
      </c>
      <c r="D142" s="177">
        <f>'III. INPUT-Baseline'!C178</f>
        <v>0</v>
      </c>
      <c r="E142" s="178">
        <f>'V. Baseline Anaerobic CH4'!$C$19</f>
        <v>0</v>
      </c>
      <c r="F142" s="177">
        <f>'III. INPUT-Baseline'!$C$158</f>
        <v>0</v>
      </c>
      <c r="G142" s="177">
        <f>'III. INPUT-Baseline'!$C$111</f>
        <v>0</v>
      </c>
      <c r="H142" s="158">
        <f>C142*D142*E142*('III. INPUT-Baseline'!$G$48-'III. INPUT-Baseline'!$H$48)*F142*G142*0.68*0.001</f>
        <v>0</v>
      </c>
      <c r="I142" s="158">
        <f t="shared" ref="I142:I151" si="9">H142*gwp_ch4</f>
        <v>0</v>
      </c>
      <c r="J142" s="11"/>
    </row>
    <row r="143" spans="2:10" x14ac:dyDescent="0.3">
      <c r="B143" s="648">
        <f>'III. INPUT-Baseline'!B112</f>
        <v>0</v>
      </c>
      <c r="C143" s="177">
        <f>'III. INPUT-Baseline'!$D$86</f>
        <v>0</v>
      </c>
      <c r="D143" s="177">
        <f>'III. INPUT-Baseline'!D178</f>
        <v>0</v>
      </c>
      <c r="E143" s="178">
        <f>'V. Baseline Anaerobic CH4'!$C$63</f>
        <v>0</v>
      </c>
      <c r="F143" s="176">
        <f>'III. INPUT-Baseline'!$C$158</f>
        <v>0</v>
      </c>
      <c r="G143" s="176">
        <f>'III. INPUT-Baseline'!$C$112</f>
        <v>0</v>
      </c>
      <c r="H143" s="158">
        <f>C143*D143*E143*('III. INPUT-Baseline'!$G$48-'III. INPUT-Baseline'!$H$48)*F143*G143*0.68*0.001</f>
        <v>0</v>
      </c>
      <c r="I143" s="158">
        <f t="shared" si="9"/>
        <v>0</v>
      </c>
      <c r="J143" s="11"/>
    </row>
    <row r="144" spans="2:10" x14ac:dyDescent="0.3">
      <c r="B144" s="648">
        <f>'III. INPUT-Baseline'!B113</f>
        <v>0</v>
      </c>
      <c r="C144" s="177">
        <f>'III. INPUT-Baseline'!$E$86</f>
        <v>0</v>
      </c>
      <c r="D144" s="177">
        <f>'III. INPUT-Baseline'!E178</f>
        <v>0</v>
      </c>
      <c r="E144" s="178">
        <f>'III. INPUT-Baseline'!$D$99</f>
        <v>0</v>
      </c>
      <c r="F144" s="176">
        <f>'III. INPUT-Baseline'!$C$158</f>
        <v>0</v>
      </c>
      <c r="G144" s="176">
        <f>'III. INPUT-Baseline'!$C$113</f>
        <v>0</v>
      </c>
      <c r="H144" s="158">
        <f>C144*D144*E144*('III. INPUT-Baseline'!$G$48-'III. INPUT-Baseline'!$H$48)*F144*G144*0.68*0.001</f>
        <v>0</v>
      </c>
      <c r="I144" s="158">
        <f t="shared" si="9"/>
        <v>0</v>
      </c>
      <c r="J144" s="11"/>
    </row>
    <row r="145" spans="2:10" x14ac:dyDescent="0.3">
      <c r="B145" s="648">
        <f>'III. INPUT-Baseline'!B114</f>
        <v>0</v>
      </c>
      <c r="C145" s="177">
        <f>'III. INPUT-Baseline'!$F$86</f>
        <v>0</v>
      </c>
      <c r="D145" s="177">
        <f>'III. INPUT-Baseline'!F178</f>
        <v>0</v>
      </c>
      <c r="E145" s="178">
        <f>'III. INPUT-Baseline'!$D$100</f>
        <v>0</v>
      </c>
      <c r="F145" s="176">
        <f>'III. INPUT-Baseline'!$C$158</f>
        <v>0</v>
      </c>
      <c r="G145" s="176">
        <f>'III. INPUT-Baseline'!$C$114</f>
        <v>0</v>
      </c>
      <c r="H145" s="158">
        <f>C145*D145*E145*('III. INPUT-Baseline'!$G$48-'III. INPUT-Baseline'!$H$48)*F145*G145*0.68*0.001</f>
        <v>0</v>
      </c>
      <c r="I145" s="158">
        <f t="shared" si="9"/>
        <v>0</v>
      </c>
      <c r="J145" s="11"/>
    </row>
    <row r="146" spans="2:10" x14ac:dyDescent="0.3">
      <c r="B146" s="648">
        <f>'III. INPUT-Baseline'!B115</f>
        <v>0</v>
      </c>
      <c r="C146" s="177">
        <f>'III. INPUT-Baseline'!$G$86</f>
        <v>0</v>
      </c>
      <c r="D146" s="177">
        <f>'III. INPUT-Baseline'!G178</f>
        <v>0</v>
      </c>
      <c r="E146" s="178">
        <f>'III. INPUT-Baseline'!$D$101</f>
        <v>0</v>
      </c>
      <c r="F146" s="176">
        <f>'III. INPUT-Baseline'!$C$158</f>
        <v>0</v>
      </c>
      <c r="G146" s="176">
        <f>'III. INPUT-Baseline'!$C$115</f>
        <v>0</v>
      </c>
      <c r="H146" s="158">
        <f>C146*D146*E146*('III. INPUT-Baseline'!$G$48-'III. INPUT-Baseline'!$H$48)*F146*G146*0.68*0.001</f>
        <v>0</v>
      </c>
      <c r="I146" s="158">
        <f t="shared" si="9"/>
        <v>0</v>
      </c>
      <c r="J146" s="11"/>
    </row>
    <row r="147" spans="2:10" x14ac:dyDescent="0.3">
      <c r="B147" s="648">
        <f>'III. INPUT-Baseline'!B116</f>
        <v>0</v>
      </c>
      <c r="C147" s="177">
        <f>'III. INPUT-Baseline'!$H$86</f>
        <v>0</v>
      </c>
      <c r="D147" s="177">
        <f>'III. INPUT-Baseline'!H178</f>
        <v>0</v>
      </c>
      <c r="E147" s="178">
        <f>'III. INPUT-Baseline'!$D$102</f>
        <v>0</v>
      </c>
      <c r="F147" s="176">
        <f>'III. INPUT-Baseline'!$C$158</f>
        <v>0</v>
      </c>
      <c r="G147" s="176">
        <f>'III. INPUT-Baseline'!$C$116</f>
        <v>0</v>
      </c>
      <c r="H147" s="158">
        <f>C147*D147*E147*('III. INPUT-Baseline'!$G$48-'III. INPUT-Baseline'!$H$48)*F147*G147*0.68*0.001</f>
        <v>0</v>
      </c>
      <c r="I147" s="158">
        <f t="shared" si="9"/>
        <v>0</v>
      </c>
      <c r="J147" s="11"/>
    </row>
    <row r="148" spans="2:10" x14ac:dyDescent="0.3">
      <c r="B148" s="648">
        <f>'III. INPUT-Baseline'!B117</f>
        <v>0</v>
      </c>
      <c r="C148" s="177">
        <f>'III. INPUT-Baseline'!$I$86</f>
        <v>0</v>
      </c>
      <c r="D148" s="177">
        <f>'III. INPUT-Baseline'!I178</f>
        <v>0</v>
      </c>
      <c r="E148" s="178">
        <f>'III. INPUT-Baseline'!$D$103</f>
        <v>0</v>
      </c>
      <c r="F148" s="176">
        <f>'III. INPUT-Baseline'!$C$158</f>
        <v>0</v>
      </c>
      <c r="G148" s="176">
        <f>'III. INPUT-Baseline'!$C$117</f>
        <v>0</v>
      </c>
      <c r="H148" s="158">
        <f>C148*D148*E148*('III. INPUT-Baseline'!$G$48-'III. INPUT-Baseline'!$H$48)*F148*G148*0.68*0.001</f>
        <v>0</v>
      </c>
      <c r="I148" s="158">
        <f t="shared" si="9"/>
        <v>0</v>
      </c>
      <c r="J148" s="11"/>
    </row>
    <row r="149" spans="2:10" x14ac:dyDescent="0.3">
      <c r="B149" s="648">
        <f>'III. INPUT-Baseline'!B118</f>
        <v>0</v>
      </c>
      <c r="C149" s="177">
        <f>'III. INPUT-Baseline'!$J$86</f>
        <v>0</v>
      </c>
      <c r="D149" s="177">
        <f>'III. INPUT-Baseline'!J178</f>
        <v>0</v>
      </c>
      <c r="E149" s="178">
        <f>'III. INPUT-Baseline'!$D$104</f>
        <v>0</v>
      </c>
      <c r="F149" s="176">
        <f>'III. INPUT-Baseline'!$C$158</f>
        <v>0</v>
      </c>
      <c r="G149" s="176">
        <f>'III. INPUT-Baseline'!$C$118</f>
        <v>0</v>
      </c>
      <c r="H149" s="158">
        <f>C149*D149*E149*('III. INPUT-Baseline'!$G$48-'III. INPUT-Baseline'!$H$48)*F149*G149*0.68*0.001</f>
        <v>0</v>
      </c>
      <c r="I149" s="158">
        <f t="shared" si="9"/>
        <v>0</v>
      </c>
      <c r="J149" s="11"/>
    </row>
    <row r="150" spans="2:10" x14ac:dyDescent="0.3">
      <c r="B150" s="648">
        <f>'III. INPUT-Baseline'!B119</f>
        <v>0</v>
      </c>
      <c r="C150" s="177">
        <f>'III. INPUT-Baseline'!$K$86</f>
        <v>0</v>
      </c>
      <c r="D150" s="177">
        <f>'III. INPUT-Baseline'!K178</f>
        <v>0</v>
      </c>
      <c r="E150" s="178">
        <f>'III. INPUT-Baseline'!$D$105</f>
        <v>0</v>
      </c>
      <c r="F150" s="176">
        <f>'III. INPUT-Baseline'!$C$158</f>
        <v>0</v>
      </c>
      <c r="G150" s="176">
        <f>'III. INPUT-Baseline'!$C$119</f>
        <v>0</v>
      </c>
      <c r="H150" s="158">
        <f>C150*D150*E150*('III. INPUT-Baseline'!$G$48-'III. INPUT-Baseline'!$H$48)*F150*G150*0.68*0.001</f>
        <v>0</v>
      </c>
      <c r="I150" s="158">
        <f t="shared" si="9"/>
        <v>0</v>
      </c>
      <c r="J150" s="11"/>
    </row>
    <row r="151" spans="2:10" x14ac:dyDescent="0.3">
      <c r="B151" s="648">
        <f>'III. INPUT-Baseline'!B120</f>
        <v>0</v>
      </c>
      <c r="C151" s="177">
        <f>'III. INPUT-Baseline'!$L$86</f>
        <v>0</v>
      </c>
      <c r="D151" s="177">
        <f>'III. INPUT-Baseline'!L178</f>
        <v>0</v>
      </c>
      <c r="E151" s="178">
        <f>'III. INPUT-Baseline'!$D$106</f>
        <v>0</v>
      </c>
      <c r="F151" s="176">
        <f>'III. INPUT-Baseline'!$C$158</f>
        <v>0</v>
      </c>
      <c r="G151" s="176">
        <f>'III. INPUT-Baseline'!$C$120</f>
        <v>0</v>
      </c>
      <c r="H151" s="158">
        <f>C151*D151*E151*('III. INPUT-Baseline'!$G$48-'III. INPUT-Baseline'!$H$48)*F151*G151*0.68*0.001</f>
        <v>0</v>
      </c>
      <c r="I151" s="158">
        <f t="shared" si="9"/>
        <v>0</v>
      </c>
      <c r="J151" s="11"/>
    </row>
    <row r="152" spans="2:10" x14ac:dyDescent="0.3">
      <c r="B152" s="651" t="s">
        <v>449</v>
      </c>
      <c r="C152" s="652"/>
      <c r="D152" s="652"/>
      <c r="E152" s="652"/>
      <c r="F152" s="652"/>
      <c r="G152" s="653"/>
      <c r="H152" s="623">
        <f>SUM(H142:H151)</f>
        <v>0</v>
      </c>
      <c r="I152" s="623">
        <f>SUM(I142:I151)</f>
        <v>0</v>
      </c>
      <c r="J152" s="11"/>
    </row>
    <row r="153" spans="2:10" x14ac:dyDescent="0.3">
      <c r="H153" s="61"/>
      <c r="I153" s="61"/>
      <c r="J153" s="11"/>
    </row>
    <row r="154" spans="2:10" x14ac:dyDescent="0.3">
      <c r="B154" s="649">
        <f>'III. INPUT-Baseline'!C135</f>
        <v>0</v>
      </c>
      <c r="H154" s="39"/>
      <c r="J154" s="11"/>
    </row>
    <row r="155" spans="2:10" s="4" customFormat="1" ht="16" x14ac:dyDescent="0.4">
      <c r="B155" s="136" t="s">
        <v>441</v>
      </c>
      <c r="C155" s="136" t="s">
        <v>442</v>
      </c>
      <c r="D155" s="136" t="s">
        <v>443</v>
      </c>
      <c r="E155" s="136" t="s">
        <v>444</v>
      </c>
      <c r="F155" s="136" t="s">
        <v>445</v>
      </c>
      <c r="G155" s="136" t="s">
        <v>446</v>
      </c>
      <c r="H155" s="591" t="s">
        <v>447</v>
      </c>
      <c r="I155" s="591" t="s">
        <v>448</v>
      </c>
    </row>
    <row r="156" spans="2:10" x14ac:dyDescent="0.3">
      <c r="B156" s="648">
        <f>'III. INPUT-Baseline'!B111</f>
        <v>0</v>
      </c>
      <c r="C156" s="177">
        <f>'III. INPUT-Baseline'!$C$86</f>
        <v>0</v>
      </c>
      <c r="D156" s="177">
        <f>'III. INPUT-Baseline'!C179</f>
        <v>0</v>
      </c>
      <c r="E156" s="178">
        <f>'V. Baseline Anaerobic CH4'!$C$19</f>
        <v>0</v>
      </c>
      <c r="F156" s="177">
        <f>'III. INPUT-Baseline'!$C$159</f>
        <v>0</v>
      </c>
      <c r="G156" s="177">
        <f>'III. INPUT-Baseline'!$C$111</f>
        <v>0</v>
      </c>
      <c r="H156" s="158">
        <f>C156*D156*E156*('III. INPUT-Baseline'!$G$48-'III. INPUT-Baseline'!$H$48)*F156*G156*0.68*0.001</f>
        <v>0</v>
      </c>
      <c r="I156" s="158">
        <f t="shared" ref="I156:I165" si="10">H156*gwp_ch4</f>
        <v>0</v>
      </c>
      <c r="J156" s="11"/>
    </row>
    <row r="157" spans="2:10" x14ac:dyDescent="0.3">
      <c r="B157" s="648">
        <f>'III. INPUT-Baseline'!B112</f>
        <v>0</v>
      </c>
      <c r="C157" s="177">
        <f>'III. INPUT-Baseline'!$D$86</f>
        <v>0</v>
      </c>
      <c r="D157" s="177">
        <f>'III. INPUT-Baseline'!D179</f>
        <v>0</v>
      </c>
      <c r="E157" s="178">
        <f>'V. Baseline Anaerobic CH4'!$C$63</f>
        <v>0</v>
      </c>
      <c r="F157" s="176">
        <f>'III. INPUT-Baseline'!$C$159</f>
        <v>0</v>
      </c>
      <c r="G157" s="176">
        <f>'III. INPUT-Baseline'!$C$112</f>
        <v>0</v>
      </c>
      <c r="H157" s="158">
        <f>C157*D157*E157*('III. INPUT-Baseline'!$G$48-'III. INPUT-Baseline'!$H$48)*F157*G157*0.68*0.001</f>
        <v>0</v>
      </c>
      <c r="I157" s="158">
        <f t="shared" si="10"/>
        <v>0</v>
      </c>
      <c r="J157" s="11"/>
    </row>
    <row r="158" spans="2:10" x14ac:dyDescent="0.3">
      <c r="B158" s="648">
        <f>'III. INPUT-Baseline'!B113</f>
        <v>0</v>
      </c>
      <c r="C158" s="177">
        <f>'III. INPUT-Baseline'!$E$86</f>
        <v>0</v>
      </c>
      <c r="D158" s="177">
        <f>'III. INPUT-Baseline'!E179</f>
        <v>0</v>
      </c>
      <c r="E158" s="178">
        <f>'III. INPUT-Baseline'!$D$99</f>
        <v>0</v>
      </c>
      <c r="F158" s="176">
        <f>'III. INPUT-Baseline'!$C$159</f>
        <v>0</v>
      </c>
      <c r="G158" s="176">
        <f>'III. INPUT-Baseline'!$C$113</f>
        <v>0</v>
      </c>
      <c r="H158" s="158">
        <f>C158*D158*E158*('III. INPUT-Baseline'!$G$48-'III. INPUT-Baseline'!$H$48)*F158*G158*0.68*0.001</f>
        <v>0</v>
      </c>
      <c r="I158" s="158">
        <f t="shared" si="10"/>
        <v>0</v>
      </c>
      <c r="J158" s="11"/>
    </row>
    <row r="159" spans="2:10" x14ac:dyDescent="0.3">
      <c r="B159" s="648">
        <f>'III. INPUT-Baseline'!B114</f>
        <v>0</v>
      </c>
      <c r="C159" s="177">
        <f>'III. INPUT-Baseline'!$F$86</f>
        <v>0</v>
      </c>
      <c r="D159" s="177">
        <f>'III. INPUT-Baseline'!F179</f>
        <v>0</v>
      </c>
      <c r="E159" s="178">
        <f>'III. INPUT-Baseline'!$D$100</f>
        <v>0</v>
      </c>
      <c r="F159" s="176">
        <f>'III. INPUT-Baseline'!$C$159</f>
        <v>0</v>
      </c>
      <c r="G159" s="176">
        <f>'III. INPUT-Baseline'!$C$114</f>
        <v>0</v>
      </c>
      <c r="H159" s="158">
        <f>C159*D159*E159*('III. INPUT-Baseline'!$G$48-'III. INPUT-Baseline'!$H$48)*F159*G159*0.68*0.001</f>
        <v>0</v>
      </c>
      <c r="I159" s="158">
        <f t="shared" si="10"/>
        <v>0</v>
      </c>
      <c r="J159" s="11"/>
    </row>
    <row r="160" spans="2:10" x14ac:dyDescent="0.3">
      <c r="B160" s="648">
        <f>'III. INPUT-Baseline'!B115</f>
        <v>0</v>
      </c>
      <c r="C160" s="177">
        <f>'III. INPUT-Baseline'!$G$86</f>
        <v>0</v>
      </c>
      <c r="D160" s="177">
        <f>'III. INPUT-Baseline'!G179</f>
        <v>0</v>
      </c>
      <c r="E160" s="178">
        <f>'III. INPUT-Baseline'!$D$101</f>
        <v>0</v>
      </c>
      <c r="F160" s="176">
        <f>'III. INPUT-Baseline'!$C$159</f>
        <v>0</v>
      </c>
      <c r="G160" s="176">
        <f>'III. INPUT-Baseline'!$C$115</f>
        <v>0</v>
      </c>
      <c r="H160" s="158">
        <f>C160*D160*E160*('III. INPUT-Baseline'!$G$48-'III. INPUT-Baseline'!$H$48)*F160*G160*0.68*0.001</f>
        <v>0</v>
      </c>
      <c r="I160" s="158">
        <f t="shared" si="10"/>
        <v>0</v>
      </c>
      <c r="J160" s="11"/>
    </row>
    <row r="161" spans="1:10" x14ac:dyDescent="0.3">
      <c r="B161" s="648">
        <f>'III. INPUT-Baseline'!B116</f>
        <v>0</v>
      </c>
      <c r="C161" s="177">
        <f>'III. INPUT-Baseline'!$H$86</f>
        <v>0</v>
      </c>
      <c r="D161" s="177">
        <f>'III. INPUT-Baseline'!H179</f>
        <v>0</v>
      </c>
      <c r="E161" s="178">
        <f>'III. INPUT-Baseline'!$D$102</f>
        <v>0</v>
      </c>
      <c r="F161" s="176">
        <f>'III. INPUT-Baseline'!$C$159</f>
        <v>0</v>
      </c>
      <c r="G161" s="176">
        <f>'III. INPUT-Baseline'!$C$116</f>
        <v>0</v>
      </c>
      <c r="H161" s="158">
        <f>C161*D161*E161*('III. INPUT-Baseline'!$G$48-'III. INPUT-Baseline'!$H$48)*F161*G161*0.68*0.001</f>
        <v>0</v>
      </c>
      <c r="I161" s="158">
        <f t="shared" si="10"/>
        <v>0</v>
      </c>
      <c r="J161" s="11"/>
    </row>
    <row r="162" spans="1:10" x14ac:dyDescent="0.3">
      <c r="B162" s="648">
        <f>'III. INPUT-Baseline'!B117</f>
        <v>0</v>
      </c>
      <c r="C162" s="177">
        <f>'III. INPUT-Baseline'!$I$86</f>
        <v>0</v>
      </c>
      <c r="D162" s="177">
        <f>'III. INPUT-Baseline'!I179</f>
        <v>0</v>
      </c>
      <c r="E162" s="178">
        <f>'III. INPUT-Baseline'!$D$103</f>
        <v>0</v>
      </c>
      <c r="F162" s="176">
        <f>'III. INPUT-Baseline'!$C$159</f>
        <v>0</v>
      </c>
      <c r="G162" s="176">
        <f>'III. INPUT-Baseline'!$C$117</f>
        <v>0</v>
      </c>
      <c r="H162" s="158">
        <f>C162*D162*E162*('III. INPUT-Baseline'!$G$48-'III. INPUT-Baseline'!$H$48)*F162*G162*0.68*0.001</f>
        <v>0</v>
      </c>
      <c r="I162" s="158">
        <f t="shared" si="10"/>
        <v>0</v>
      </c>
      <c r="J162" s="11"/>
    </row>
    <row r="163" spans="1:10" x14ac:dyDescent="0.3">
      <c r="B163" s="648">
        <f>'III. INPUT-Baseline'!B118</f>
        <v>0</v>
      </c>
      <c r="C163" s="177">
        <f>'III. INPUT-Baseline'!$J$86</f>
        <v>0</v>
      </c>
      <c r="D163" s="177">
        <f>'III. INPUT-Baseline'!J179</f>
        <v>0</v>
      </c>
      <c r="E163" s="178">
        <f>'III. INPUT-Baseline'!$D$104</f>
        <v>0</v>
      </c>
      <c r="F163" s="176">
        <f>'III. INPUT-Baseline'!$C$159</f>
        <v>0</v>
      </c>
      <c r="G163" s="176">
        <f>'III. INPUT-Baseline'!$C$118</f>
        <v>0</v>
      </c>
      <c r="H163" s="158">
        <f>C163*D163*E163*('III. INPUT-Baseline'!$G$48-'III. INPUT-Baseline'!$H$48)*F163*G163*0.68*0.001</f>
        <v>0</v>
      </c>
      <c r="I163" s="158">
        <f t="shared" si="10"/>
        <v>0</v>
      </c>
      <c r="J163" s="11"/>
    </row>
    <row r="164" spans="1:10" x14ac:dyDescent="0.3">
      <c r="B164" s="648">
        <f>'III. INPUT-Baseline'!B119</f>
        <v>0</v>
      </c>
      <c r="C164" s="177">
        <f>'III. INPUT-Baseline'!$K$86</f>
        <v>0</v>
      </c>
      <c r="D164" s="177">
        <f>'III. INPUT-Baseline'!K179</f>
        <v>0</v>
      </c>
      <c r="E164" s="178">
        <f>'III. INPUT-Baseline'!$D$105</f>
        <v>0</v>
      </c>
      <c r="F164" s="176">
        <f>'III. INPUT-Baseline'!$C$159</f>
        <v>0</v>
      </c>
      <c r="G164" s="176">
        <f>'III. INPUT-Baseline'!$C$119</f>
        <v>0</v>
      </c>
      <c r="H164" s="158">
        <f>C164*D164*E164*('III. INPUT-Baseline'!$G$48-'III. INPUT-Baseline'!$H$48)*F164*G164*0.68*0.001</f>
        <v>0</v>
      </c>
      <c r="I164" s="158">
        <f t="shared" si="10"/>
        <v>0</v>
      </c>
      <c r="J164" s="11"/>
    </row>
    <row r="165" spans="1:10" x14ac:dyDescent="0.3">
      <c r="B165" s="648">
        <f>'III. INPUT-Baseline'!B120</f>
        <v>0</v>
      </c>
      <c r="C165" s="177">
        <f>'III. INPUT-Baseline'!$L$86</f>
        <v>0</v>
      </c>
      <c r="D165" s="177">
        <f>'III. INPUT-Baseline'!L179</f>
        <v>0</v>
      </c>
      <c r="E165" s="178">
        <f>'III. INPUT-Baseline'!$D$106</f>
        <v>0</v>
      </c>
      <c r="F165" s="176">
        <f>'III. INPUT-Baseline'!$C$159</f>
        <v>0</v>
      </c>
      <c r="G165" s="176">
        <f>'III. INPUT-Baseline'!$C$120</f>
        <v>0</v>
      </c>
      <c r="H165" s="158">
        <f>C165*D165*E165*('III. INPUT-Baseline'!$G$48-'III. INPUT-Baseline'!$H$48)*F165*G165*0.68*0.001</f>
        <v>0</v>
      </c>
      <c r="I165" s="158">
        <f t="shared" si="10"/>
        <v>0</v>
      </c>
      <c r="J165" s="11"/>
    </row>
    <row r="166" spans="1:10" x14ac:dyDescent="0.3">
      <c r="B166" s="651" t="s">
        <v>449</v>
      </c>
      <c r="C166" s="652"/>
      <c r="D166" s="652"/>
      <c r="E166" s="652"/>
      <c r="F166" s="652"/>
      <c r="G166" s="653"/>
      <c r="H166" s="623">
        <f>SUM(H156:H165)</f>
        <v>0</v>
      </c>
      <c r="I166" s="623">
        <f>SUM(I156:I165)</f>
        <v>0</v>
      </c>
      <c r="J166" s="11"/>
    </row>
    <row r="167" spans="1:10" x14ac:dyDescent="0.3">
      <c r="H167" s="61"/>
      <c r="I167" s="61"/>
    </row>
    <row r="168" spans="1:10" x14ac:dyDescent="0.3">
      <c r="I168" s="61"/>
      <c r="J168" s="61"/>
    </row>
    <row r="169" spans="1:10" ht="24" customHeight="1" x14ac:dyDescent="0.25">
      <c r="B169" s="141" t="s">
        <v>450</v>
      </c>
    </row>
    <row r="170" spans="1:10" ht="16" x14ac:dyDescent="0.4">
      <c r="A170" s="3"/>
      <c r="B170" s="73" t="s">
        <v>447</v>
      </c>
      <c r="C170" s="605">
        <f>H26+H40+H54+H68+H82+H96+H110+H124+H138+H152+H166</f>
        <v>0</v>
      </c>
      <c r="D170" s="74" t="s">
        <v>103</v>
      </c>
      <c r="E170" s="3"/>
      <c r="F170" s="3"/>
      <c r="G170" s="3"/>
      <c r="H170" s="3"/>
    </row>
    <row r="171" spans="1:10" ht="16" x14ac:dyDescent="0.4">
      <c r="A171" s="3"/>
      <c r="B171" s="73" t="s">
        <v>448</v>
      </c>
      <c r="C171" s="605">
        <f>I26+I40+I54+I68+I82+I96+I110+I124+I138+I152+I166</f>
        <v>0</v>
      </c>
      <c r="D171" s="70" t="s">
        <v>105</v>
      </c>
      <c r="E171" s="3"/>
      <c r="F171" s="3"/>
      <c r="G171" s="3"/>
      <c r="H171" s="3"/>
    </row>
    <row r="173" spans="1:10" ht="12.5" x14ac:dyDescent="0.25">
      <c r="B173" s="673" t="s">
        <v>241</v>
      </c>
      <c r="C173" s="673"/>
      <c r="D173" s="673"/>
      <c r="E173" s="673"/>
      <c r="F173" s="673"/>
      <c r="G173" s="673"/>
      <c r="H173" s="673"/>
      <c r="I173" s="11"/>
      <c r="J173" s="11"/>
    </row>
    <row r="174" spans="1:10" ht="12.5" x14ac:dyDescent="0.25">
      <c r="B174" s="673"/>
      <c r="C174" s="673"/>
      <c r="D174" s="673"/>
      <c r="E174" s="673"/>
      <c r="F174" s="673"/>
      <c r="G174" s="673"/>
      <c r="H174" s="673"/>
      <c r="I174" s="11"/>
      <c r="J174" s="11"/>
    </row>
    <row r="175" spans="1:10" ht="12.5" x14ac:dyDescent="0.25">
      <c r="B175" s="673"/>
      <c r="C175" s="673"/>
      <c r="D175" s="673"/>
      <c r="E175" s="673"/>
      <c r="F175" s="673"/>
      <c r="G175" s="673"/>
      <c r="H175" s="673"/>
      <c r="I175" s="11"/>
      <c r="J175" s="11"/>
    </row>
    <row r="176" spans="1:10" ht="12.5" x14ac:dyDescent="0.25">
      <c r="B176" s="673"/>
      <c r="C176" s="673"/>
      <c r="D176" s="673"/>
      <c r="E176" s="673"/>
      <c r="F176" s="673"/>
      <c r="G176" s="673"/>
      <c r="H176" s="673"/>
      <c r="I176" s="11"/>
      <c r="J176" s="11"/>
    </row>
    <row r="177" spans="2:10" ht="12.5" x14ac:dyDescent="0.25">
      <c r="B177" s="673"/>
      <c r="C177" s="673"/>
      <c r="D177" s="673"/>
      <c r="E177" s="673"/>
      <c r="F177" s="673"/>
      <c r="G177" s="673"/>
      <c r="H177" s="673"/>
      <c r="I177" s="11"/>
      <c r="J177" s="11"/>
    </row>
    <row r="178" spans="2:10" ht="12.5" x14ac:dyDescent="0.25">
      <c r="B178" s="673"/>
      <c r="C178" s="673"/>
      <c r="D178" s="673"/>
      <c r="E178" s="673"/>
      <c r="F178" s="673"/>
      <c r="G178" s="673"/>
      <c r="H178" s="673"/>
      <c r="I178" s="11"/>
      <c r="J178" s="11"/>
    </row>
    <row r="179" spans="2:10" ht="12.5" x14ac:dyDescent="0.25">
      <c r="B179" s="673"/>
      <c r="C179" s="673"/>
      <c r="D179" s="673"/>
      <c r="E179" s="673"/>
      <c r="F179" s="673"/>
      <c r="G179" s="673"/>
      <c r="H179" s="673"/>
      <c r="I179" s="11"/>
      <c r="J179" s="11"/>
    </row>
  </sheetData>
  <sheetProtection algorithmName="SHA-512" hashValue="nwbix03u4LVZjT6tm2Lq5svZwZeRGRfqdBuGfV+91acKVqWAYR32X4Vfy2fmN2Nl6TxbhlgmXZmhsIGqvRovVg==" saltValue="xWNBjxVkfCxO00WAi40guQ==" spinCount="100000" sheet="1" objects="1" scenarios="1"/>
  <customSheetViews>
    <customSheetView guid="{A6F5A5FB-2E6E-47D3-842C-0D3D06DB341A}" scale="75">
      <selection activeCell="B2" sqref="B2"/>
      <rowBreaks count="2" manualBreakCount="2">
        <brk id="71" min="1" max="9" man="1"/>
        <brk id="113" min="1" max="9" man="1"/>
      </rowBreaks>
      <pageMargins left="0" right="0" top="0" bottom="0" header="0" footer="0"/>
      <printOptions horizontalCentered="1" verticalCentered="1"/>
      <pageSetup scale="48" fitToHeight="3" orientation="landscape" r:id="rId1"/>
      <headerFooter alignWithMargins="0"/>
    </customSheetView>
  </customSheetViews>
  <mergeCells count="2">
    <mergeCell ref="B12:J12"/>
    <mergeCell ref="B173:H179"/>
  </mergeCells>
  <phoneticPr fontId="2" type="noConversion"/>
  <printOptions horizontalCentered="1" verticalCentered="1"/>
  <pageMargins left="0.25" right="0.25" top="0.25" bottom="0.25" header="0.25" footer="0.25"/>
  <pageSetup scale="48" fitToHeight="3" orientation="landscape" r:id="rId2"/>
  <headerFooter alignWithMargins="0"/>
  <rowBreaks count="2" manualBreakCount="2">
    <brk id="69" min="1" max="9" man="1"/>
    <brk id="111" min="1"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1:I48"/>
  <sheetViews>
    <sheetView showGridLines="0" zoomScale="80" zoomScaleNormal="80" zoomScaleSheetLayoutView="75" workbookViewId="0">
      <selection activeCell="E33" sqref="E33"/>
    </sheetView>
  </sheetViews>
  <sheetFormatPr defaultColWidth="9.1796875" defaultRowHeight="12.5" x14ac:dyDescent="0.25"/>
  <cols>
    <col min="1" max="1" width="3.81640625" style="11" customWidth="1"/>
    <col min="2" max="2" width="32.1796875" style="11" customWidth="1"/>
    <col min="3" max="3" width="24.453125" style="39" customWidth="1"/>
    <col min="4" max="4" width="26.81640625" style="39" bestFit="1" customWidth="1"/>
    <col min="5" max="5" width="25.1796875" style="39" bestFit="1" customWidth="1"/>
    <col min="6" max="6" width="28" style="39" bestFit="1" customWidth="1"/>
    <col min="7" max="7" width="23.81640625" style="39" bestFit="1" customWidth="1"/>
    <col min="8" max="8" width="26.453125" style="39" bestFit="1" customWidth="1"/>
    <col min="9" max="16384" width="9.1796875" style="11"/>
  </cols>
  <sheetData>
    <row r="1" spans="2:9" ht="13" x14ac:dyDescent="0.3">
      <c r="B1" s="12" t="str">
        <f>version</f>
        <v>COPtool Beta Version 2014k - September 2018</v>
      </c>
    </row>
    <row r="2" spans="2:9" ht="13" x14ac:dyDescent="0.3">
      <c r="B2" s="12" t="s">
        <v>81</v>
      </c>
    </row>
    <row r="3" spans="2:9" ht="13" x14ac:dyDescent="0.3">
      <c r="B3" s="12"/>
    </row>
    <row r="4" spans="2:9" ht="18" x14ac:dyDescent="0.4">
      <c r="B4" s="13" t="s">
        <v>451</v>
      </c>
    </row>
    <row r="5" spans="2:9" ht="13" x14ac:dyDescent="0.3">
      <c r="B5" s="3"/>
    </row>
    <row r="6" spans="2:9" ht="13" x14ac:dyDescent="0.3">
      <c r="B6" s="3" t="s">
        <v>83</v>
      </c>
      <c r="C6" s="67"/>
      <c r="E6" s="60"/>
      <c r="F6" s="134"/>
      <c r="G6" s="134"/>
      <c r="H6" s="134"/>
      <c r="I6" s="49"/>
    </row>
    <row r="7" spans="2:9" ht="13" x14ac:dyDescent="0.3">
      <c r="B7" s="92" t="s">
        <v>84</v>
      </c>
      <c r="C7" s="185" t="s">
        <v>138</v>
      </c>
      <c r="D7" s="186"/>
      <c r="E7" s="60"/>
      <c r="F7" s="134"/>
      <c r="G7" s="134"/>
      <c r="H7" s="134"/>
      <c r="I7" s="49"/>
    </row>
    <row r="8" spans="2:9" ht="13" x14ac:dyDescent="0.3">
      <c r="B8" s="169" t="s">
        <v>86</v>
      </c>
      <c r="C8" s="187" t="s">
        <v>87</v>
      </c>
      <c r="D8" s="188"/>
      <c r="E8" s="60"/>
      <c r="F8" s="134"/>
      <c r="G8" s="134"/>
      <c r="H8" s="134"/>
      <c r="I8" s="49"/>
    </row>
    <row r="9" spans="2:9" ht="13" x14ac:dyDescent="0.3">
      <c r="B9" s="322" t="s">
        <v>143</v>
      </c>
      <c r="C9" s="325" t="s">
        <v>144</v>
      </c>
      <c r="D9" s="326"/>
      <c r="E9" s="60"/>
      <c r="F9" s="134"/>
      <c r="G9" s="134"/>
      <c r="H9" s="134"/>
      <c r="I9" s="49"/>
    </row>
    <row r="10" spans="2:9" ht="13" x14ac:dyDescent="0.3">
      <c r="B10" s="4"/>
      <c r="C10" s="67"/>
      <c r="E10" s="60"/>
      <c r="F10" s="134"/>
      <c r="G10" s="134"/>
      <c r="H10" s="134"/>
      <c r="I10" s="49"/>
    </row>
    <row r="11" spans="2:9" x14ac:dyDescent="0.25">
      <c r="B11" s="703" t="s">
        <v>452</v>
      </c>
      <c r="C11" s="703"/>
      <c r="D11" s="703"/>
      <c r="E11" s="703"/>
      <c r="F11" s="703"/>
      <c r="G11" s="703"/>
      <c r="H11" s="703"/>
    </row>
    <row r="12" spans="2:9" ht="13" x14ac:dyDescent="0.3">
      <c r="B12" s="46"/>
      <c r="C12" s="148"/>
      <c r="D12" s="148"/>
      <c r="E12" s="61"/>
    </row>
    <row r="13" spans="2:9" ht="15.5" x14ac:dyDescent="0.35">
      <c r="B13" s="86" t="s">
        <v>453</v>
      </c>
    </row>
    <row r="14" spans="2:9" ht="13.5" thickBot="1" x14ac:dyDescent="0.35">
      <c r="B14" s="117"/>
    </row>
    <row r="15" spans="2:9" s="49" customFormat="1" ht="15" x14ac:dyDescent="0.4">
      <c r="B15" s="165" t="s">
        <v>441</v>
      </c>
      <c r="C15" s="189" t="s">
        <v>454</v>
      </c>
      <c r="D15" s="189" t="s">
        <v>455</v>
      </c>
      <c r="E15" s="189" t="s">
        <v>456</v>
      </c>
      <c r="F15" s="190" t="s">
        <v>457</v>
      </c>
      <c r="G15" s="191" t="s">
        <v>458</v>
      </c>
      <c r="H15" s="190" t="s">
        <v>459</v>
      </c>
    </row>
    <row r="16" spans="2:9" ht="13" x14ac:dyDescent="0.3">
      <c r="B16" s="192">
        <f>'III. INPUT-Baseline'!B111</f>
        <v>0</v>
      </c>
      <c r="C16" s="193">
        <f>'V. Baseline Anaerobic CH4'!I35+'V. Baseline Anaerobic CH4'!I57</f>
        <v>0</v>
      </c>
      <c r="D16" s="193">
        <f t="shared" ref="D16:D25" si="0">C16*gwp_ch4</f>
        <v>0</v>
      </c>
      <c r="E16" s="193">
        <f>'VI. Baseline Non-Anaerobic CH4'!H16+'VI. Baseline Non-Anaerobic CH4'!H30+'VI. Baseline Non-Anaerobic CH4'!H44+'VI. Baseline Non-Anaerobic CH4'!H58+'VI. Baseline Non-Anaerobic CH4'!H72+'VI. Baseline Non-Anaerobic CH4'!H86+'VI. Baseline Non-Anaerobic CH4'!H100+'VI. Baseline Non-Anaerobic CH4'!H114+'VI. Baseline Non-Anaerobic CH4'!H128+'VI. Baseline Non-Anaerobic CH4'!H142+'VI. Baseline Non-Anaerobic CH4'!H156</f>
        <v>0</v>
      </c>
      <c r="F16" s="194">
        <f t="shared" ref="F16:F25" si="1">E16*gwp_ch4</f>
        <v>0</v>
      </c>
      <c r="G16" s="195">
        <f>C16+E16</f>
        <v>0</v>
      </c>
      <c r="H16" s="196">
        <f>D16+F16</f>
        <v>0</v>
      </c>
    </row>
    <row r="17" spans="2:8" ht="13" x14ac:dyDescent="0.3">
      <c r="B17" s="192">
        <f>'III. INPUT-Baseline'!B112</f>
        <v>0</v>
      </c>
      <c r="C17" s="193">
        <f>'V. Baseline Anaerobic CH4'!I79+'V. Baseline Anaerobic CH4'!I101</f>
        <v>0</v>
      </c>
      <c r="D17" s="193">
        <f t="shared" si="0"/>
        <v>0</v>
      </c>
      <c r="E17" s="193">
        <f>'VI. Baseline Non-Anaerobic CH4'!H17+'VI. Baseline Non-Anaerobic CH4'!H31+'VI. Baseline Non-Anaerobic CH4'!H45+'VI. Baseline Non-Anaerobic CH4'!H59+'VI. Baseline Non-Anaerobic CH4'!H73+'VI. Baseline Non-Anaerobic CH4'!H87+'VI. Baseline Non-Anaerobic CH4'!H101+'VI. Baseline Non-Anaerobic CH4'!H115+'VI. Baseline Non-Anaerobic CH4'!H129+'VI. Baseline Non-Anaerobic CH4'!H143+'VI. Baseline Non-Anaerobic CH4'!H157</f>
        <v>0</v>
      </c>
      <c r="F17" s="194">
        <f t="shared" si="1"/>
        <v>0</v>
      </c>
      <c r="G17" s="195">
        <f t="shared" ref="G17:G25" si="2">C17+E17</f>
        <v>0</v>
      </c>
      <c r="H17" s="196">
        <f t="shared" ref="H17:H25" si="3">D17+F17</f>
        <v>0</v>
      </c>
    </row>
    <row r="18" spans="2:8" ht="13" x14ac:dyDescent="0.3">
      <c r="B18" s="192">
        <f>'III. INPUT-Baseline'!B113</f>
        <v>0</v>
      </c>
      <c r="C18" s="193">
        <f>'V. Baseline Anaerobic CH4'!I122+'V. Baseline Anaerobic CH4'!I143</f>
        <v>0</v>
      </c>
      <c r="D18" s="193">
        <f t="shared" si="0"/>
        <v>0</v>
      </c>
      <c r="E18" s="193">
        <f>'VI. Baseline Non-Anaerobic CH4'!H18+'VI. Baseline Non-Anaerobic CH4'!H32+'VI. Baseline Non-Anaerobic CH4'!H46+'VI. Baseline Non-Anaerobic CH4'!H60+'VI. Baseline Non-Anaerobic CH4'!H74+'VI. Baseline Non-Anaerobic CH4'!H88+'VI. Baseline Non-Anaerobic CH4'!H102+'VI. Baseline Non-Anaerobic CH4'!H116+'VI. Baseline Non-Anaerobic CH4'!H130+'VI. Baseline Non-Anaerobic CH4'!H144+'VI. Baseline Non-Anaerobic CH4'!H158</f>
        <v>0</v>
      </c>
      <c r="F18" s="194">
        <f t="shared" si="1"/>
        <v>0</v>
      </c>
      <c r="G18" s="195">
        <f t="shared" si="2"/>
        <v>0</v>
      </c>
      <c r="H18" s="196">
        <f t="shared" si="3"/>
        <v>0</v>
      </c>
    </row>
    <row r="19" spans="2:8" ht="13" x14ac:dyDescent="0.3">
      <c r="B19" s="192">
        <f>'III. INPUT-Baseline'!B114</f>
        <v>0</v>
      </c>
      <c r="C19" s="193">
        <f>'V. Baseline Anaerobic CH4'!I164+'V. Baseline Anaerobic CH4'!I185</f>
        <v>0</v>
      </c>
      <c r="D19" s="193">
        <f t="shared" si="0"/>
        <v>0</v>
      </c>
      <c r="E19" s="193">
        <f>'VI. Baseline Non-Anaerobic CH4'!H19+'VI. Baseline Non-Anaerobic CH4'!H33+'VI. Baseline Non-Anaerobic CH4'!H47+'VI. Baseline Non-Anaerobic CH4'!H61+'VI. Baseline Non-Anaerobic CH4'!H75+'VI. Baseline Non-Anaerobic CH4'!H89+'VI. Baseline Non-Anaerobic CH4'!H103+'VI. Baseline Non-Anaerobic CH4'!H117+'VI. Baseline Non-Anaerobic CH4'!H131+'VI. Baseline Non-Anaerobic CH4'!H145+'VI. Baseline Non-Anaerobic CH4'!H159</f>
        <v>0</v>
      </c>
      <c r="F19" s="194">
        <f t="shared" si="1"/>
        <v>0</v>
      </c>
      <c r="G19" s="195">
        <f t="shared" si="2"/>
        <v>0</v>
      </c>
      <c r="H19" s="196">
        <f t="shared" si="3"/>
        <v>0</v>
      </c>
    </row>
    <row r="20" spans="2:8" ht="13" x14ac:dyDescent="0.3">
      <c r="B20" s="192">
        <f>'III. INPUT-Baseline'!B115</f>
        <v>0</v>
      </c>
      <c r="C20" s="193">
        <f>'V. Baseline Anaerobic CH4'!I205+'V. Baseline Anaerobic CH4'!I227</f>
        <v>0</v>
      </c>
      <c r="D20" s="193">
        <f t="shared" si="0"/>
        <v>0</v>
      </c>
      <c r="E20" s="193">
        <f>'VI. Baseline Non-Anaerobic CH4'!H20+'VI. Baseline Non-Anaerobic CH4'!H34+'VI. Baseline Non-Anaerobic CH4'!H48+'VI. Baseline Non-Anaerobic CH4'!H62+'VI. Baseline Non-Anaerobic CH4'!H76+'VI. Baseline Non-Anaerobic CH4'!H90+'VI. Baseline Non-Anaerobic CH4'!H104+'VI. Baseline Non-Anaerobic CH4'!H118+'VI. Baseline Non-Anaerobic CH4'!H132+'VI. Baseline Non-Anaerobic CH4'!H146+'VI. Baseline Non-Anaerobic CH4'!H160</f>
        <v>0</v>
      </c>
      <c r="F20" s="194">
        <f t="shared" si="1"/>
        <v>0</v>
      </c>
      <c r="G20" s="195">
        <f t="shared" si="2"/>
        <v>0</v>
      </c>
      <c r="H20" s="196">
        <f t="shared" si="3"/>
        <v>0</v>
      </c>
    </row>
    <row r="21" spans="2:8" ht="13" x14ac:dyDescent="0.3">
      <c r="B21" s="192">
        <f>'III. INPUT-Baseline'!B116</f>
        <v>0</v>
      </c>
      <c r="C21" s="193">
        <f>'V. Baseline Anaerobic CH4'!I248+'V. Baseline Anaerobic CH4'!I269</f>
        <v>0</v>
      </c>
      <c r="D21" s="193">
        <f t="shared" si="0"/>
        <v>0</v>
      </c>
      <c r="E21" s="193">
        <f>'VI. Baseline Non-Anaerobic CH4'!H21+'VI. Baseline Non-Anaerobic CH4'!H35+'VI. Baseline Non-Anaerobic CH4'!H49+'VI. Baseline Non-Anaerobic CH4'!H63+'VI. Baseline Non-Anaerobic CH4'!H77+'VI. Baseline Non-Anaerobic CH4'!H91+'VI. Baseline Non-Anaerobic CH4'!H105+'VI. Baseline Non-Anaerobic CH4'!H119+'VI. Baseline Non-Anaerobic CH4'!H133+'VI. Baseline Non-Anaerobic CH4'!H147+'VI. Baseline Non-Anaerobic CH4'!H161</f>
        <v>0</v>
      </c>
      <c r="F21" s="194">
        <f t="shared" si="1"/>
        <v>0</v>
      </c>
      <c r="G21" s="195">
        <f t="shared" si="2"/>
        <v>0</v>
      </c>
      <c r="H21" s="196">
        <f t="shared" si="3"/>
        <v>0</v>
      </c>
    </row>
    <row r="22" spans="2:8" ht="13" x14ac:dyDescent="0.3">
      <c r="B22" s="192">
        <f>'III. INPUT-Baseline'!B117</f>
        <v>0</v>
      </c>
      <c r="C22" s="193">
        <f>'V. Baseline Anaerobic CH4'!I292+'V. Baseline Anaerobic CH4'!I313</f>
        <v>0</v>
      </c>
      <c r="D22" s="193">
        <f t="shared" si="0"/>
        <v>0</v>
      </c>
      <c r="E22" s="193">
        <f>'VI. Baseline Non-Anaerobic CH4'!H22+'VI. Baseline Non-Anaerobic CH4'!H36+'VI. Baseline Non-Anaerobic CH4'!H50+'VI. Baseline Non-Anaerobic CH4'!H64+'VI. Baseline Non-Anaerobic CH4'!H78+'VI. Baseline Non-Anaerobic CH4'!H92+'VI. Baseline Non-Anaerobic CH4'!H106+'VI. Baseline Non-Anaerobic CH4'!H120+'VI. Baseline Non-Anaerobic CH4'!H134+'VI. Baseline Non-Anaerobic CH4'!H148+'VI. Baseline Non-Anaerobic CH4'!H162</f>
        <v>0</v>
      </c>
      <c r="F22" s="194">
        <f t="shared" si="1"/>
        <v>0</v>
      </c>
      <c r="G22" s="195">
        <f t="shared" si="2"/>
        <v>0</v>
      </c>
      <c r="H22" s="196">
        <f t="shared" si="3"/>
        <v>0</v>
      </c>
    </row>
    <row r="23" spans="2:8" ht="13" x14ac:dyDescent="0.3">
      <c r="B23" s="192">
        <f>'III. INPUT-Baseline'!B118</f>
        <v>0</v>
      </c>
      <c r="C23" s="193">
        <f>'V. Baseline Anaerobic CH4'!I334+'V. Baseline Anaerobic CH4'!I356</f>
        <v>0</v>
      </c>
      <c r="D23" s="193">
        <f t="shared" si="0"/>
        <v>0</v>
      </c>
      <c r="E23" s="193">
        <f>'VI. Baseline Non-Anaerobic CH4'!H23+'VI. Baseline Non-Anaerobic CH4'!H37+'VI. Baseline Non-Anaerobic CH4'!H51+'VI. Baseline Non-Anaerobic CH4'!H65+'VI. Baseline Non-Anaerobic CH4'!H79+'VI. Baseline Non-Anaerobic CH4'!H93+'VI. Baseline Non-Anaerobic CH4'!H107+'VI. Baseline Non-Anaerobic CH4'!H121+'VI. Baseline Non-Anaerobic CH4'!H135+'VI. Baseline Non-Anaerobic CH4'!H149+'VI. Baseline Non-Anaerobic CH4'!H163</f>
        <v>0</v>
      </c>
      <c r="F23" s="194">
        <f t="shared" si="1"/>
        <v>0</v>
      </c>
      <c r="G23" s="195">
        <f t="shared" si="2"/>
        <v>0</v>
      </c>
      <c r="H23" s="196">
        <f t="shared" si="3"/>
        <v>0</v>
      </c>
    </row>
    <row r="24" spans="2:8" ht="13" x14ac:dyDescent="0.3">
      <c r="B24" s="192">
        <f>'III. INPUT-Baseline'!B119</f>
        <v>0</v>
      </c>
      <c r="C24" s="193">
        <f>'V. Baseline Anaerobic CH4'!I378+'V. Baseline Anaerobic CH4'!I399</f>
        <v>0</v>
      </c>
      <c r="D24" s="193">
        <f t="shared" si="0"/>
        <v>0</v>
      </c>
      <c r="E24" s="193">
        <f>'VI. Baseline Non-Anaerobic CH4'!H24+'VI. Baseline Non-Anaerobic CH4'!H38+'VI. Baseline Non-Anaerobic CH4'!H52+'VI. Baseline Non-Anaerobic CH4'!H66+'VI. Baseline Non-Anaerobic CH4'!H80+'VI. Baseline Non-Anaerobic CH4'!H94+'VI. Baseline Non-Anaerobic CH4'!H108+'VI. Baseline Non-Anaerobic CH4'!H122+'VI. Baseline Non-Anaerobic CH4'!H136+'VI. Baseline Non-Anaerobic CH4'!H150+'VI. Baseline Non-Anaerobic CH4'!H164</f>
        <v>0</v>
      </c>
      <c r="F24" s="194">
        <f t="shared" si="1"/>
        <v>0</v>
      </c>
      <c r="G24" s="195">
        <f t="shared" si="2"/>
        <v>0</v>
      </c>
      <c r="H24" s="196">
        <f t="shared" si="3"/>
        <v>0</v>
      </c>
    </row>
    <row r="25" spans="2:8" ht="13.5" thickBot="1" x14ac:dyDescent="0.35">
      <c r="B25" s="197">
        <f>'III. INPUT-Baseline'!B120</f>
        <v>0</v>
      </c>
      <c r="C25" s="198">
        <f>'V. Baseline Anaerobic CH4'!I421+'V. Baseline Anaerobic CH4'!I442</f>
        <v>0</v>
      </c>
      <c r="D25" s="198">
        <f t="shared" si="0"/>
        <v>0</v>
      </c>
      <c r="E25" s="198">
        <f>'VI. Baseline Non-Anaerobic CH4'!H25+'VI. Baseline Non-Anaerobic CH4'!H39+'VI. Baseline Non-Anaerobic CH4'!H53+'VI. Baseline Non-Anaerobic CH4'!H67+'VI. Baseline Non-Anaerobic CH4'!H81+'VI. Baseline Non-Anaerobic CH4'!H95+'VI. Baseline Non-Anaerobic CH4'!H109+'VI. Baseline Non-Anaerobic CH4'!H123+'VI. Baseline Non-Anaerobic CH4'!H137+'VI. Baseline Non-Anaerobic CH4'!H151+'VI. Baseline Non-Anaerobic CH4'!H165</f>
        <v>0</v>
      </c>
      <c r="F25" s="199">
        <f t="shared" si="1"/>
        <v>0</v>
      </c>
      <c r="G25" s="200">
        <f t="shared" si="2"/>
        <v>0</v>
      </c>
      <c r="H25" s="201">
        <f t="shared" si="3"/>
        <v>0</v>
      </c>
    </row>
    <row r="26" spans="2:8" ht="13" x14ac:dyDescent="0.3">
      <c r="B26" s="3"/>
    </row>
    <row r="27" spans="2:8" ht="15.5" x14ac:dyDescent="0.35">
      <c r="B27" s="86" t="s">
        <v>460</v>
      </c>
    </row>
    <row r="28" spans="2:8" ht="13.5" thickBot="1" x14ac:dyDescent="0.35">
      <c r="B28" s="3"/>
    </row>
    <row r="29" spans="2:8" s="49" customFormat="1" ht="15" x14ac:dyDescent="0.4">
      <c r="B29" s="165" t="s">
        <v>461</v>
      </c>
      <c r="C29" s="189" t="s">
        <v>462</v>
      </c>
      <c r="D29" s="190" t="s">
        <v>463</v>
      </c>
      <c r="E29" s="134"/>
      <c r="F29" s="726" t="s">
        <v>241</v>
      </c>
      <c r="G29" s="727"/>
      <c r="H29" s="728"/>
    </row>
    <row r="30" spans="2:8" ht="13" x14ac:dyDescent="0.3">
      <c r="B30" s="192" t="str">
        <f>'III. INPUT-Baseline'!B125</f>
        <v>Uncovered anaerobic lagoon</v>
      </c>
      <c r="C30" s="379">
        <f>'V. Baseline Anaerobic CH4'!I35+'V. Baseline Anaerobic CH4'!I79+'V. Baseline Anaerobic CH4'!I122+'V. Baseline Anaerobic CH4'!I164+'V. Baseline Anaerobic CH4'!I205+'V. Baseline Anaerobic CH4'!I248+'V. Baseline Anaerobic CH4'!I292+'V. Baseline Anaerobic CH4'!I334+'V. Baseline Anaerobic CH4'!I378+'V. Baseline Anaerobic CH4'!I421</f>
        <v>0</v>
      </c>
      <c r="D30" s="380">
        <f t="shared" ref="D30:D42" si="4">C30*gwp_ch4</f>
        <v>0</v>
      </c>
      <c r="F30" s="729"/>
      <c r="G30" s="678"/>
      <c r="H30" s="730"/>
    </row>
    <row r="31" spans="2:8" ht="13" x14ac:dyDescent="0.3">
      <c r="B31" s="192">
        <f>'III. INPUT-Baseline'!B126</f>
        <v>0</v>
      </c>
      <c r="C31" s="379">
        <f>'V. Baseline Anaerobic CH4'!I442+'V. Baseline Anaerobic CH4'!I399+'V. Baseline Anaerobic CH4'!I356+'V. Baseline Anaerobic CH4'!I313+'V. Baseline Anaerobic CH4'!I269+'V. Baseline Anaerobic CH4'!I227+'V. Baseline Anaerobic CH4'!I185+'V. Baseline Anaerobic CH4'!I143+'V. Baseline Anaerobic CH4'!I101+'V. Baseline Anaerobic CH4'!I57</f>
        <v>0</v>
      </c>
      <c r="D31" s="380">
        <f t="shared" si="4"/>
        <v>0</v>
      </c>
      <c r="F31" s="729"/>
      <c r="G31" s="678"/>
      <c r="H31" s="730"/>
    </row>
    <row r="32" spans="2:8" ht="13" x14ac:dyDescent="0.3">
      <c r="B32" s="192">
        <f>'III. INPUT-Baseline'!C125</f>
        <v>0</v>
      </c>
      <c r="C32" s="379">
        <f>'VI. Baseline Non-Anaerobic CH4'!H26</f>
        <v>0</v>
      </c>
      <c r="D32" s="380">
        <f t="shared" si="4"/>
        <v>0</v>
      </c>
      <c r="F32" s="729"/>
      <c r="G32" s="678"/>
      <c r="H32" s="730"/>
    </row>
    <row r="33" spans="2:8" ht="13" x14ac:dyDescent="0.3">
      <c r="B33" s="192">
        <f>'III. INPUT-Baseline'!C126</f>
        <v>0</v>
      </c>
      <c r="C33" s="379">
        <f>'VI. Baseline Non-Anaerobic CH4'!H40</f>
        <v>0</v>
      </c>
      <c r="D33" s="380">
        <f t="shared" si="4"/>
        <v>0</v>
      </c>
      <c r="F33" s="729"/>
      <c r="G33" s="678"/>
      <c r="H33" s="730"/>
    </row>
    <row r="34" spans="2:8" ht="13" x14ac:dyDescent="0.3">
      <c r="B34" s="192">
        <f>'III. INPUT-Baseline'!C127</f>
        <v>0</v>
      </c>
      <c r="C34" s="379">
        <f>'VI. Baseline Non-Anaerobic CH4'!H54</f>
        <v>0</v>
      </c>
      <c r="D34" s="380">
        <f t="shared" si="4"/>
        <v>0</v>
      </c>
      <c r="F34" s="729"/>
      <c r="G34" s="678"/>
      <c r="H34" s="730"/>
    </row>
    <row r="35" spans="2:8" ht="13" x14ac:dyDescent="0.3">
      <c r="B35" s="192">
        <f>'III. INPUT-Baseline'!C128</f>
        <v>0</v>
      </c>
      <c r="C35" s="379">
        <f>'VI. Baseline Non-Anaerobic CH4'!H68</f>
        <v>0</v>
      </c>
      <c r="D35" s="380">
        <f t="shared" si="4"/>
        <v>0</v>
      </c>
      <c r="F35" s="729"/>
      <c r="G35" s="678"/>
      <c r="H35" s="730"/>
    </row>
    <row r="36" spans="2:8" ht="13" x14ac:dyDescent="0.3">
      <c r="B36" s="192">
        <f>'III. INPUT-Baseline'!C129</f>
        <v>0</v>
      </c>
      <c r="C36" s="379">
        <f>'VI. Baseline Non-Anaerobic CH4'!H82</f>
        <v>0</v>
      </c>
      <c r="D36" s="380">
        <f t="shared" si="4"/>
        <v>0</v>
      </c>
      <c r="F36" s="729"/>
      <c r="G36" s="678"/>
      <c r="H36" s="730"/>
    </row>
    <row r="37" spans="2:8" ht="13" x14ac:dyDescent="0.3">
      <c r="B37" s="192">
        <f>'III. INPUT-Baseline'!C130</f>
        <v>0</v>
      </c>
      <c r="C37" s="379">
        <f>'VI. Baseline Non-Anaerobic CH4'!H96</f>
        <v>0</v>
      </c>
      <c r="D37" s="380">
        <f t="shared" si="4"/>
        <v>0</v>
      </c>
      <c r="F37" s="729"/>
      <c r="G37" s="678"/>
      <c r="H37" s="730"/>
    </row>
    <row r="38" spans="2:8" ht="13" x14ac:dyDescent="0.3">
      <c r="B38" s="192">
        <f>'III. INPUT-Baseline'!C131</f>
        <v>0</v>
      </c>
      <c r="C38" s="379">
        <f>'VI. Baseline Non-Anaerobic CH4'!H110</f>
        <v>0</v>
      </c>
      <c r="D38" s="380">
        <f t="shared" si="4"/>
        <v>0</v>
      </c>
      <c r="F38" s="729"/>
      <c r="G38" s="678"/>
      <c r="H38" s="730"/>
    </row>
    <row r="39" spans="2:8" ht="13" x14ac:dyDescent="0.3">
      <c r="B39" s="192">
        <f>'III. INPUT-Baseline'!C132</f>
        <v>0</v>
      </c>
      <c r="C39" s="379">
        <f>'VI. Baseline Non-Anaerobic CH4'!H124</f>
        <v>0</v>
      </c>
      <c r="D39" s="380">
        <f t="shared" si="4"/>
        <v>0</v>
      </c>
      <c r="F39" s="729"/>
      <c r="G39" s="678"/>
      <c r="H39" s="730"/>
    </row>
    <row r="40" spans="2:8" ht="13" x14ac:dyDescent="0.3">
      <c r="B40" s="192">
        <f>'III. INPUT-Baseline'!C133</f>
        <v>0</v>
      </c>
      <c r="C40" s="379">
        <f>'VI. Baseline Non-Anaerobic CH4'!H138</f>
        <v>0</v>
      </c>
      <c r="D40" s="380">
        <f t="shared" si="4"/>
        <v>0</v>
      </c>
      <c r="F40" s="729"/>
      <c r="G40" s="678"/>
      <c r="H40" s="730"/>
    </row>
    <row r="41" spans="2:8" ht="13" x14ac:dyDescent="0.3">
      <c r="B41" s="192">
        <f>'III. INPUT-Baseline'!C134</f>
        <v>0</v>
      </c>
      <c r="C41" s="379">
        <f>'VI. Baseline Non-Anaerobic CH4'!H152</f>
        <v>0</v>
      </c>
      <c r="D41" s="380">
        <f t="shared" si="4"/>
        <v>0</v>
      </c>
      <c r="F41" s="729"/>
      <c r="G41" s="678"/>
      <c r="H41" s="730"/>
    </row>
    <row r="42" spans="2:8" ht="13.5" thickBot="1" x14ac:dyDescent="0.35">
      <c r="B42" s="197">
        <f>'III. INPUT-Baseline'!C135</f>
        <v>0</v>
      </c>
      <c r="C42" s="381">
        <f>'VI. Baseline Non-Anaerobic CH4'!H166</f>
        <v>0</v>
      </c>
      <c r="D42" s="382">
        <f t="shared" si="4"/>
        <v>0</v>
      </c>
      <c r="F42" s="729"/>
      <c r="G42" s="678"/>
      <c r="H42" s="730"/>
    </row>
    <row r="43" spans="2:8" ht="13" x14ac:dyDescent="0.3">
      <c r="B43" s="3"/>
      <c r="C43" s="67"/>
      <c r="F43" s="729"/>
      <c r="G43" s="678"/>
      <c r="H43" s="730"/>
    </row>
    <row r="44" spans="2:8" ht="15.5" x14ac:dyDescent="0.35">
      <c r="B44" s="86" t="s">
        <v>464</v>
      </c>
      <c r="F44" s="729"/>
      <c r="G44" s="678"/>
      <c r="H44" s="730"/>
    </row>
    <row r="45" spans="2:8" ht="13.5" thickBot="1" x14ac:dyDescent="0.35">
      <c r="B45" s="725"/>
      <c r="C45" s="703"/>
      <c r="D45" s="703"/>
      <c r="E45" s="148"/>
      <c r="F45" s="729"/>
      <c r="G45" s="678"/>
      <c r="H45" s="730"/>
    </row>
    <row r="46" spans="2:8" s="3" customFormat="1" ht="16.5" thickBot="1" x14ac:dyDescent="0.45">
      <c r="B46" s="204" t="s">
        <v>465</v>
      </c>
      <c r="C46" s="202">
        <f>SUM(C30:C42)</f>
        <v>0</v>
      </c>
      <c r="D46" s="74" t="s">
        <v>103</v>
      </c>
      <c r="E46" s="74"/>
      <c r="F46" s="729"/>
      <c r="G46" s="678"/>
      <c r="H46" s="730"/>
    </row>
    <row r="47" spans="2:8" s="3" customFormat="1" ht="16.5" thickBot="1" x14ac:dyDescent="0.45">
      <c r="B47" s="205" t="s">
        <v>463</v>
      </c>
      <c r="C47" s="203">
        <f>SUM(D30:D42)</f>
        <v>0</v>
      </c>
      <c r="D47" s="70" t="s">
        <v>105</v>
      </c>
      <c r="E47" s="61"/>
      <c r="F47" s="729"/>
      <c r="G47" s="678"/>
      <c r="H47" s="730"/>
    </row>
    <row r="48" spans="2:8" ht="13" thickBot="1" x14ac:dyDescent="0.3">
      <c r="F48" s="731"/>
      <c r="G48" s="732"/>
      <c r="H48" s="733"/>
    </row>
  </sheetData>
  <sheetProtection algorithmName="SHA-512" hashValue="TZzXVJ8xLEfxzn29HuBlkHNpBXrmVKvBRDUjQGo6QSDV+7bVtfV8jW7F/S8wSBwCX+YvFXdLSgXekbH642GoHg==" saltValue="n5Gx6Me9H6uYO2Q+9pMkFQ==" spinCount="100000" sheet="1" objects="1" scenarios="1"/>
  <customSheetViews>
    <customSheetView guid="{A6F5A5FB-2E6E-47D3-842C-0D3D06DB341A}" scale="75" fitToPage="1">
      <selection activeCell="B2" sqref="B2"/>
      <pageMargins left="0" right="0" top="0" bottom="0" header="0" footer="0"/>
      <printOptions horizontalCentered="1" verticalCentered="1"/>
      <pageSetup scale="59" orientation="landscape" horizontalDpi="4294967293" r:id="rId1"/>
      <headerFooter alignWithMargins="0"/>
    </customSheetView>
  </customSheetViews>
  <mergeCells count="3">
    <mergeCell ref="B45:D45"/>
    <mergeCell ref="B11:H11"/>
    <mergeCell ref="F29:H48"/>
  </mergeCells>
  <phoneticPr fontId="2" type="noConversion"/>
  <printOptions horizontalCentered="1" verticalCentered="1"/>
  <pageMargins left="0.25" right="0.25" top="0.25" bottom="0.25" header="0.25" footer="0.25"/>
  <pageSetup scale="59" orientation="landscape" horizontalDpi="4294967293"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B1:P36"/>
  <sheetViews>
    <sheetView showGridLines="0" zoomScale="80" zoomScaleNormal="80" workbookViewId="0">
      <selection activeCell="M42" sqref="M42"/>
    </sheetView>
  </sheetViews>
  <sheetFormatPr defaultColWidth="9.1796875" defaultRowHeight="12.5" x14ac:dyDescent="0.25"/>
  <cols>
    <col min="1" max="1" width="3.453125" style="11" customWidth="1"/>
    <col min="2" max="2" width="16.1796875" style="11" customWidth="1"/>
    <col min="3" max="3" width="8.1796875" style="11" bestFit="1" customWidth="1"/>
    <col min="4" max="4" width="9.453125" style="11" bestFit="1" customWidth="1"/>
    <col min="5" max="5" width="15.81640625" style="39" bestFit="1" customWidth="1"/>
    <col min="6" max="6" width="12.453125" style="11" bestFit="1" customWidth="1"/>
    <col min="7" max="7" width="29.1796875" style="11" bestFit="1" customWidth="1"/>
    <col min="8" max="9" width="10.1796875" style="39" bestFit="1" customWidth="1"/>
    <col min="10" max="10" width="16.1796875" style="11" bestFit="1" customWidth="1"/>
    <col min="11" max="11" width="17.1796875" style="11" bestFit="1" customWidth="1"/>
    <col min="12" max="12" width="16.1796875" style="11" bestFit="1" customWidth="1"/>
    <col min="13" max="13" width="17.1796875" style="11" bestFit="1" customWidth="1"/>
    <col min="14" max="14" width="23.1796875" style="11" customWidth="1"/>
    <col min="15" max="16384" width="9.1796875" style="11"/>
  </cols>
  <sheetData>
    <row r="1" spans="2:16" ht="13" x14ac:dyDescent="0.3">
      <c r="B1" s="12" t="str">
        <f>version</f>
        <v>COPtool Beta Version 2014k - September 2018</v>
      </c>
    </row>
    <row r="2" spans="2:16" ht="13" x14ac:dyDescent="0.3">
      <c r="B2" s="12" t="s">
        <v>81</v>
      </c>
    </row>
    <row r="3" spans="2:16" ht="13" x14ac:dyDescent="0.3">
      <c r="B3" s="12"/>
    </row>
    <row r="4" spans="2:16" ht="18" x14ac:dyDescent="0.4">
      <c r="B4" s="13" t="s">
        <v>466</v>
      </c>
      <c r="C4" s="3"/>
      <c r="D4" s="3"/>
    </row>
    <row r="5" spans="2:16" ht="13" x14ac:dyDescent="0.3">
      <c r="B5" s="3"/>
      <c r="C5" s="3"/>
      <c r="D5" s="3"/>
    </row>
    <row r="6" spans="2:16" ht="13" x14ac:dyDescent="0.3">
      <c r="B6" s="3" t="s">
        <v>83</v>
      </c>
      <c r="C6" s="98"/>
      <c r="D6" s="98"/>
      <c r="E6" s="67"/>
      <c r="F6" s="25"/>
      <c r="G6" s="49"/>
      <c r="H6" s="121"/>
      <c r="I6" s="51"/>
      <c r="J6" s="51"/>
      <c r="K6" s="51"/>
      <c r="L6" s="51"/>
    </row>
    <row r="7" spans="2:16" ht="13" x14ac:dyDescent="0.3">
      <c r="B7" s="208" t="s">
        <v>84</v>
      </c>
      <c r="C7" s="734" t="s">
        <v>138</v>
      </c>
      <c r="D7" s="735"/>
      <c r="E7" s="735"/>
      <c r="F7" s="736"/>
      <c r="G7" s="209"/>
      <c r="H7" s="51"/>
      <c r="I7" s="51"/>
      <c r="J7" s="51"/>
      <c r="K7" s="51"/>
      <c r="L7" s="51"/>
    </row>
    <row r="8" spans="2:16" ht="13" x14ac:dyDescent="0.3">
      <c r="B8" s="210" t="s">
        <v>86</v>
      </c>
      <c r="C8" s="737" t="s">
        <v>87</v>
      </c>
      <c r="D8" s="735"/>
      <c r="E8" s="735"/>
      <c r="F8" s="736"/>
      <c r="G8" s="209"/>
      <c r="H8" s="51"/>
      <c r="I8" s="51"/>
      <c r="J8" s="51"/>
      <c r="K8" s="51"/>
      <c r="L8" s="51"/>
    </row>
    <row r="9" spans="2:16" ht="13" x14ac:dyDescent="0.3">
      <c r="B9" s="322" t="s">
        <v>143</v>
      </c>
      <c r="C9" s="325" t="s">
        <v>144</v>
      </c>
      <c r="D9" s="327"/>
      <c r="E9" s="327"/>
      <c r="F9" s="328"/>
      <c r="H9" s="51"/>
      <c r="J9" s="51"/>
      <c r="K9" s="51"/>
      <c r="L9" s="51"/>
    </row>
    <row r="10" spans="2:16" x14ac:dyDescent="0.25">
      <c r="B10" s="24"/>
      <c r="C10" s="24"/>
      <c r="D10" s="24"/>
      <c r="E10" s="67"/>
      <c r="F10" s="25"/>
      <c r="G10" s="49"/>
      <c r="H10" s="51"/>
      <c r="I10" s="51"/>
      <c r="J10" s="51"/>
      <c r="K10" s="51"/>
      <c r="L10" s="51"/>
    </row>
    <row r="11" spans="2:16" ht="15.5" x14ac:dyDescent="0.35">
      <c r="B11" s="206" t="s">
        <v>467</v>
      </c>
      <c r="C11" s="14"/>
      <c r="D11" s="14"/>
    </row>
    <row r="12" spans="2:16" ht="35.25" customHeight="1" x14ac:dyDescent="0.25">
      <c r="B12" s="627" t="s">
        <v>468</v>
      </c>
      <c r="C12" s="627"/>
      <c r="D12" s="627"/>
      <c r="E12" s="627"/>
      <c r="F12" s="627"/>
      <c r="G12" s="627"/>
      <c r="H12" s="627"/>
      <c r="I12" s="627"/>
      <c r="J12" s="34"/>
      <c r="K12" s="34"/>
      <c r="L12" s="34"/>
      <c r="P12" s="25"/>
    </row>
    <row r="13" spans="2:16" s="37" customFormat="1" ht="56" x14ac:dyDescent="0.25">
      <c r="B13" s="548" t="s">
        <v>246</v>
      </c>
      <c r="C13" s="548" t="s">
        <v>469</v>
      </c>
      <c r="D13" s="548" t="s">
        <v>470</v>
      </c>
      <c r="E13" s="548" t="s">
        <v>471</v>
      </c>
      <c r="F13" s="548" t="s">
        <v>472</v>
      </c>
      <c r="G13" s="626" t="s">
        <v>473</v>
      </c>
      <c r="H13" s="548" t="s">
        <v>474</v>
      </c>
      <c r="I13" s="548" t="s">
        <v>475</v>
      </c>
      <c r="J13" s="626" t="s">
        <v>476</v>
      </c>
      <c r="K13" s="626" t="s">
        <v>477</v>
      </c>
      <c r="L13" s="548" t="s">
        <v>478</v>
      </c>
      <c r="M13" s="548" t="s">
        <v>479</v>
      </c>
      <c r="N13" s="548" t="s">
        <v>480</v>
      </c>
    </row>
    <row r="14" spans="2:16" x14ac:dyDescent="0.25">
      <c r="B14" s="628" t="str">
        <f>'III. INPUT-Baseline'!B35</f>
        <v>-</v>
      </c>
      <c r="C14" s="212">
        <f>IF('IV. INPUT-Project'!$D$43="Yes",519.67,'IV. INPUT-Project'!C47)</f>
        <v>0</v>
      </c>
      <c r="D14" s="212">
        <f>IF('IV. INPUT-Project'!$D$43="Yes",1,'IV. INPUT-Project'!D47)</f>
        <v>0</v>
      </c>
      <c r="E14" s="212">
        <f>'IV. INPUT-Project'!E47</f>
        <v>0</v>
      </c>
      <c r="F14" s="212">
        <f>'IV. INPUT-Project'!F47</f>
        <v>0</v>
      </c>
      <c r="G14" s="151">
        <f>IF('III. INPUT-Baseline'!D35=0, 0, IF('IV. INPUT-Project'!$D$36="Yes",'IV. INPUT-Project'!C66,(E14*F14)*0.0423*0.000454*(519.67/C14)*(D14/1)))</f>
        <v>0</v>
      </c>
      <c r="H14" s="212">
        <f>'IV. INPUT-Project'!C17</f>
        <v>0</v>
      </c>
      <c r="I14" s="212">
        <f>'IV. INPUT-Project'!D17</f>
        <v>0</v>
      </c>
      <c r="J14" s="151">
        <f>IF(G14=0, 0, (G14*(1/H14-I14)))</f>
        <v>0</v>
      </c>
      <c r="K14" s="151">
        <f t="shared" ref="K14:K26" si="0">J14*gwp_ch4</f>
        <v>0</v>
      </c>
      <c r="L14" s="214">
        <f>G14*I14</f>
        <v>0</v>
      </c>
      <c r="M14" s="214">
        <f t="shared" ref="M14:M26" si="1">L14*gwp_ch4</f>
        <v>0</v>
      </c>
      <c r="N14" s="214">
        <f>IF('III. INPUT-Baseline'!H35&gt;0,L14*('III. INPUT-Baseline'!H35/'III. INPUT-Baseline'!G35),0)</f>
        <v>0</v>
      </c>
    </row>
    <row r="15" spans="2:16" x14ac:dyDescent="0.25">
      <c r="B15" s="628" t="str">
        <f>'III. INPUT-Baseline'!B36</f>
        <v>-</v>
      </c>
      <c r="C15" s="212">
        <f>IF('IV. INPUT-Project'!$D$43="Yes",519.67,'IV. INPUT-Project'!C48)</f>
        <v>0</v>
      </c>
      <c r="D15" s="212">
        <f>IF('IV. INPUT-Project'!$D$43="Yes",1,'IV. INPUT-Project'!D48)</f>
        <v>0</v>
      </c>
      <c r="E15" s="212">
        <f>'IV. INPUT-Project'!E48</f>
        <v>0</v>
      </c>
      <c r="F15" s="212">
        <f>'IV. INPUT-Project'!F48</f>
        <v>0</v>
      </c>
      <c r="G15" s="151">
        <f>IF('III. INPUT-Baseline'!D36=0, 0, IF('IV. INPUT-Project'!$D$36="Yes",'IV. INPUT-Project'!C67,(E15*F15)*0.0423*0.000454*(519.67/C15)*(D15/1)))</f>
        <v>0</v>
      </c>
      <c r="H15" s="212">
        <f>'IV. INPUT-Project'!C18</f>
        <v>0</v>
      </c>
      <c r="I15" s="212">
        <f>'IV. INPUT-Project'!D18</f>
        <v>0</v>
      </c>
      <c r="J15" s="151">
        <f t="shared" ref="J15:J26" si="2">IF(G15=0, 0, (G15*(1/H15-I15)))</f>
        <v>0</v>
      </c>
      <c r="K15" s="151">
        <f t="shared" si="0"/>
        <v>0</v>
      </c>
      <c r="L15" s="214">
        <f t="shared" ref="L15:L26" si="3">G15*I15</f>
        <v>0</v>
      </c>
      <c r="M15" s="214">
        <f t="shared" si="1"/>
        <v>0</v>
      </c>
      <c r="N15" s="214">
        <f>IF('III. INPUT-Baseline'!H36&gt;0,L15*('III. INPUT-Baseline'!H36/'III. INPUT-Baseline'!G36),0)</f>
        <v>0</v>
      </c>
    </row>
    <row r="16" spans="2:16" x14ac:dyDescent="0.25">
      <c r="B16" s="628" t="str">
        <f>'III. INPUT-Baseline'!B37</f>
        <v>-</v>
      </c>
      <c r="C16" s="212">
        <f>IF('IV. INPUT-Project'!$D$43="Yes",519.67,'IV. INPUT-Project'!C49)</f>
        <v>0</v>
      </c>
      <c r="D16" s="212">
        <f>IF('IV. INPUT-Project'!$D$43="Yes",1,'IV. INPUT-Project'!D49)</f>
        <v>0</v>
      </c>
      <c r="E16" s="212">
        <f>'IV. INPUT-Project'!E49</f>
        <v>0</v>
      </c>
      <c r="F16" s="212">
        <f>'IV. INPUT-Project'!F49</f>
        <v>0</v>
      </c>
      <c r="G16" s="151">
        <f>IF('III. INPUT-Baseline'!D37=0, 0, IF('IV. INPUT-Project'!$D$36="Yes",'IV. INPUT-Project'!C68,(E16*F16)*0.0423*0.000454*(519.67/C16)*(D16/1)))</f>
        <v>0</v>
      </c>
      <c r="H16" s="212">
        <f>'IV. INPUT-Project'!C19</f>
        <v>0</v>
      </c>
      <c r="I16" s="212">
        <f>'IV. INPUT-Project'!D19</f>
        <v>0</v>
      </c>
      <c r="J16" s="151">
        <f t="shared" si="2"/>
        <v>0</v>
      </c>
      <c r="K16" s="151">
        <f t="shared" si="0"/>
        <v>0</v>
      </c>
      <c r="L16" s="214">
        <f t="shared" si="3"/>
        <v>0</v>
      </c>
      <c r="M16" s="214">
        <f t="shared" si="1"/>
        <v>0</v>
      </c>
      <c r="N16" s="214">
        <f>IF('III. INPUT-Baseline'!H37&gt;0,L16*('III. INPUT-Baseline'!H37/'III. INPUT-Baseline'!G37),0)</f>
        <v>0</v>
      </c>
    </row>
    <row r="17" spans="2:14" x14ac:dyDescent="0.25">
      <c r="B17" s="628" t="str">
        <f>'III. INPUT-Baseline'!B38</f>
        <v>-</v>
      </c>
      <c r="C17" s="212">
        <f>IF('IV. INPUT-Project'!$D$43="Yes",519.67,'IV. INPUT-Project'!C50)</f>
        <v>0</v>
      </c>
      <c r="D17" s="212">
        <f>IF('IV. INPUT-Project'!$D$43="Yes",1,'IV. INPUT-Project'!D50)</f>
        <v>0</v>
      </c>
      <c r="E17" s="212">
        <f>'IV. INPUT-Project'!E50</f>
        <v>0</v>
      </c>
      <c r="F17" s="212">
        <f>'IV. INPUT-Project'!F50</f>
        <v>0</v>
      </c>
      <c r="G17" s="151">
        <f>IF('III. INPUT-Baseline'!D38=0, 0, IF('IV. INPUT-Project'!$D$36="Yes",'IV. INPUT-Project'!C69,(E17*F17)*0.0423*0.000454*(519.67/C17)*(D17/1)))</f>
        <v>0</v>
      </c>
      <c r="H17" s="212">
        <f>'IV. INPUT-Project'!C20</f>
        <v>0</v>
      </c>
      <c r="I17" s="212">
        <f>'IV. INPUT-Project'!D20</f>
        <v>0</v>
      </c>
      <c r="J17" s="151">
        <f t="shared" si="2"/>
        <v>0</v>
      </c>
      <c r="K17" s="151">
        <f t="shared" si="0"/>
        <v>0</v>
      </c>
      <c r="L17" s="214">
        <f t="shared" si="3"/>
        <v>0</v>
      </c>
      <c r="M17" s="214">
        <f t="shared" si="1"/>
        <v>0</v>
      </c>
      <c r="N17" s="214">
        <f>IF('III. INPUT-Baseline'!H38&gt;0,L17*('III. INPUT-Baseline'!H38/'III. INPUT-Baseline'!G38),0)</f>
        <v>0</v>
      </c>
    </row>
    <row r="18" spans="2:14" x14ac:dyDescent="0.25">
      <c r="B18" s="628" t="str">
        <f>'III. INPUT-Baseline'!B39</f>
        <v>-</v>
      </c>
      <c r="C18" s="212">
        <f>IF('IV. INPUT-Project'!$D$43="Yes",519.67,'IV. INPUT-Project'!C51)</f>
        <v>0</v>
      </c>
      <c r="D18" s="212">
        <f>IF('IV. INPUT-Project'!$D$43="Yes",1,'IV. INPUT-Project'!D51)</f>
        <v>0</v>
      </c>
      <c r="E18" s="212">
        <f>'IV. INPUT-Project'!E51</f>
        <v>0</v>
      </c>
      <c r="F18" s="212">
        <f>'IV. INPUT-Project'!F51</f>
        <v>0</v>
      </c>
      <c r="G18" s="151">
        <f>IF('III. INPUT-Baseline'!D39=0, 0, IF('IV. INPUT-Project'!$D$36="Yes",'IV. INPUT-Project'!C70,(E18*F18)*0.0423*0.000454*(519.67/C18)*(D18/1)))</f>
        <v>0</v>
      </c>
      <c r="H18" s="212">
        <f>'IV. INPUT-Project'!C21</f>
        <v>0</v>
      </c>
      <c r="I18" s="212">
        <f>'IV. INPUT-Project'!D21</f>
        <v>0</v>
      </c>
      <c r="J18" s="151">
        <f t="shared" si="2"/>
        <v>0</v>
      </c>
      <c r="K18" s="151">
        <f t="shared" si="0"/>
        <v>0</v>
      </c>
      <c r="L18" s="214">
        <f t="shared" si="3"/>
        <v>0</v>
      </c>
      <c r="M18" s="214">
        <f t="shared" si="1"/>
        <v>0</v>
      </c>
      <c r="N18" s="214">
        <f>IF('III. INPUT-Baseline'!H39&gt;0,L18*('III. INPUT-Baseline'!H39/'III. INPUT-Baseline'!G39),0)</f>
        <v>0</v>
      </c>
    </row>
    <row r="19" spans="2:14" x14ac:dyDescent="0.25">
      <c r="B19" s="628" t="str">
        <f>'III. INPUT-Baseline'!B40</f>
        <v>-</v>
      </c>
      <c r="C19" s="212">
        <f>IF('IV. INPUT-Project'!$D$43="Yes",519.67,'IV. INPUT-Project'!C52)</f>
        <v>0</v>
      </c>
      <c r="D19" s="212">
        <f>IF('IV. INPUT-Project'!$D$43="Yes",1,'IV. INPUT-Project'!D52)</f>
        <v>0</v>
      </c>
      <c r="E19" s="212">
        <f>'IV. INPUT-Project'!E52</f>
        <v>0</v>
      </c>
      <c r="F19" s="212">
        <f>'IV. INPUT-Project'!F52</f>
        <v>0</v>
      </c>
      <c r="G19" s="151">
        <f>IF('III. INPUT-Baseline'!D40=0, 0, IF('IV. INPUT-Project'!$D$36="Yes",'IV. INPUT-Project'!C71,(E19*F19)*0.0423*0.000454*(519.67/C19)*(D19/1)))</f>
        <v>0</v>
      </c>
      <c r="H19" s="212">
        <f>'IV. INPUT-Project'!C22</f>
        <v>0</v>
      </c>
      <c r="I19" s="212">
        <f>'IV. INPUT-Project'!D22</f>
        <v>0</v>
      </c>
      <c r="J19" s="151">
        <f t="shared" si="2"/>
        <v>0</v>
      </c>
      <c r="K19" s="151">
        <f t="shared" si="0"/>
        <v>0</v>
      </c>
      <c r="L19" s="214">
        <f t="shared" si="3"/>
        <v>0</v>
      </c>
      <c r="M19" s="214">
        <f t="shared" si="1"/>
        <v>0</v>
      </c>
      <c r="N19" s="214">
        <f>IF('III. INPUT-Baseline'!H40&gt;0,L19*('III. INPUT-Baseline'!H40/'III. INPUT-Baseline'!G40),0)</f>
        <v>0</v>
      </c>
    </row>
    <row r="20" spans="2:14" x14ac:dyDescent="0.25">
      <c r="B20" s="628" t="str">
        <f>'III. INPUT-Baseline'!B41</f>
        <v>-</v>
      </c>
      <c r="C20" s="212">
        <f>IF('IV. INPUT-Project'!$D$43="Yes",519.67,'IV. INPUT-Project'!C53)</f>
        <v>0</v>
      </c>
      <c r="D20" s="212">
        <f>IF('IV. INPUT-Project'!$D$43="Yes",1,'IV. INPUT-Project'!D53)</f>
        <v>0</v>
      </c>
      <c r="E20" s="212">
        <f>'IV. INPUT-Project'!E53</f>
        <v>0</v>
      </c>
      <c r="F20" s="212">
        <f>'IV. INPUT-Project'!F53</f>
        <v>0</v>
      </c>
      <c r="G20" s="151">
        <f>IF('III. INPUT-Baseline'!D41=0, 0, IF('IV. INPUT-Project'!$D$36="Yes",'IV. INPUT-Project'!C72,(E20*F20)*0.0423*0.000454*(519.67/C20)*(D20/1)))</f>
        <v>0</v>
      </c>
      <c r="H20" s="212">
        <f>'IV. INPUT-Project'!C23</f>
        <v>0</v>
      </c>
      <c r="I20" s="212">
        <f>'IV. INPUT-Project'!D23</f>
        <v>0</v>
      </c>
      <c r="J20" s="151">
        <f t="shared" si="2"/>
        <v>0</v>
      </c>
      <c r="K20" s="151">
        <f t="shared" si="0"/>
        <v>0</v>
      </c>
      <c r="L20" s="214">
        <f t="shared" si="3"/>
        <v>0</v>
      </c>
      <c r="M20" s="214">
        <f t="shared" si="1"/>
        <v>0</v>
      </c>
      <c r="N20" s="214">
        <f>IF('III. INPUT-Baseline'!H41&gt;0,L20*('III. INPUT-Baseline'!H41/'III. INPUT-Baseline'!G41),0)</f>
        <v>0</v>
      </c>
    </row>
    <row r="21" spans="2:14" x14ac:dyDescent="0.25">
      <c r="B21" s="628" t="str">
        <f>'III. INPUT-Baseline'!B42</f>
        <v>-</v>
      </c>
      <c r="C21" s="212">
        <f>IF('IV. INPUT-Project'!$D$43="Yes",519.67,'IV. INPUT-Project'!C54)</f>
        <v>0</v>
      </c>
      <c r="D21" s="212">
        <f>IF('IV. INPUT-Project'!$D$43="Yes",1,'IV. INPUT-Project'!D54)</f>
        <v>0</v>
      </c>
      <c r="E21" s="212">
        <f>'IV. INPUT-Project'!E54</f>
        <v>0</v>
      </c>
      <c r="F21" s="212">
        <f>'IV. INPUT-Project'!F54</f>
        <v>0</v>
      </c>
      <c r="G21" s="151">
        <f>IF('III. INPUT-Baseline'!D42=0, 0, IF('IV. INPUT-Project'!$D$36="Yes",'IV. INPUT-Project'!C73,(E21*F21)*0.0423*0.000454*(519.67/C21)*(D21/1)))</f>
        <v>0</v>
      </c>
      <c r="H21" s="212">
        <f>'IV. INPUT-Project'!C24</f>
        <v>0</v>
      </c>
      <c r="I21" s="212">
        <f>'IV. INPUT-Project'!D24</f>
        <v>0</v>
      </c>
      <c r="J21" s="151">
        <f t="shared" si="2"/>
        <v>0</v>
      </c>
      <c r="K21" s="151">
        <f t="shared" si="0"/>
        <v>0</v>
      </c>
      <c r="L21" s="214">
        <f t="shared" si="3"/>
        <v>0</v>
      </c>
      <c r="M21" s="214">
        <f t="shared" si="1"/>
        <v>0</v>
      </c>
      <c r="N21" s="214">
        <f>IF('III. INPUT-Baseline'!H42&gt;0,L21*('III. INPUT-Baseline'!H42/'III. INPUT-Baseline'!G42),0)</f>
        <v>0</v>
      </c>
    </row>
    <row r="22" spans="2:14" x14ac:dyDescent="0.25">
      <c r="B22" s="628" t="str">
        <f>'III. INPUT-Baseline'!B43</f>
        <v>-</v>
      </c>
      <c r="C22" s="212">
        <f>IF('IV. INPUT-Project'!$D$43="Yes",519.67,'IV. INPUT-Project'!C55)</f>
        <v>0</v>
      </c>
      <c r="D22" s="212">
        <f>IF('IV. INPUT-Project'!$D$43="Yes",1,'IV. INPUT-Project'!D55)</f>
        <v>0</v>
      </c>
      <c r="E22" s="212">
        <f>'IV. INPUT-Project'!E55</f>
        <v>0</v>
      </c>
      <c r="F22" s="212">
        <f>'IV. INPUT-Project'!F55</f>
        <v>0</v>
      </c>
      <c r="G22" s="151">
        <f>IF('III. INPUT-Baseline'!D43=0, 0, IF('IV. INPUT-Project'!$D$36="Yes",'IV. INPUT-Project'!C74,(E22*F22)*0.0423*0.000454*(519.67/C22)*(D22/1)))</f>
        <v>0</v>
      </c>
      <c r="H22" s="212">
        <f>'IV. INPUT-Project'!C25</f>
        <v>0</v>
      </c>
      <c r="I22" s="212">
        <f>'IV. INPUT-Project'!D25</f>
        <v>0</v>
      </c>
      <c r="J22" s="151">
        <f t="shared" si="2"/>
        <v>0</v>
      </c>
      <c r="K22" s="151">
        <f t="shared" si="0"/>
        <v>0</v>
      </c>
      <c r="L22" s="214">
        <f t="shared" si="3"/>
        <v>0</v>
      </c>
      <c r="M22" s="214">
        <f t="shared" si="1"/>
        <v>0</v>
      </c>
      <c r="N22" s="214">
        <f>IF('III. INPUT-Baseline'!H43&gt;0,L22*('III. INPUT-Baseline'!H43/'III. INPUT-Baseline'!G43),0)</f>
        <v>0</v>
      </c>
    </row>
    <row r="23" spans="2:14" x14ac:dyDescent="0.25">
      <c r="B23" s="628" t="str">
        <f>'III. INPUT-Baseline'!B44</f>
        <v>-</v>
      </c>
      <c r="C23" s="212">
        <f>IF('IV. INPUT-Project'!$D$43="Yes",519.67,'IV. INPUT-Project'!C56)</f>
        <v>0</v>
      </c>
      <c r="D23" s="212">
        <f>IF('IV. INPUT-Project'!$D$43="Yes",1,'IV. INPUT-Project'!D56)</f>
        <v>0</v>
      </c>
      <c r="E23" s="212">
        <f>'IV. INPUT-Project'!E56</f>
        <v>0</v>
      </c>
      <c r="F23" s="212">
        <f>'IV. INPUT-Project'!F56</f>
        <v>0</v>
      </c>
      <c r="G23" s="151">
        <f>IF('III. INPUT-Baseline'!D44=0, 0, IF('IV. INPUT-Project'!$D$36="Yes",'IV. INPUT-Project'!C75,(E23*F23)*0.0423*0.000454*(519.67/C23)*(D23/1)))</f>
        <v>0</v>
      </c>
      <c r="H23" s="212">
        <f>'IV. INPUT-Project'!C26</f>
        <v>0</v>
      </c>
      <c r="I23" s="212">
        <f>'IV. INPUT-Project'!D26</f>
        <v>0</v>
      </c>
      <c r="J23" s="151">
        <f t="shared" si="2"/>
        <v>0</v>
      </c>
      <c r="K23" s="151">
        <f t="shared" si="0"/>
        <v>0</v>
      </c>
      <c r="L23" s="214">
        <f t="shared" si="3"/>
        <v>0</v>
      </c>
      <c r="M23" s="214">
        <f t="shared" si="1"/>
        <v>0</v>
      </c>
      <c r="N23" s="214">
        <f>IF('III. INPUT-Baseline'!H44&gt;0,L23*('III. INPUT-Baseline'!H44/'III. INPUT-Baseline'!G44),0)</f>
        <v>0</v>
      </c>
    </row>
    <row r="24" spans="2:14" x14ac:dyDescent="0.25">
      <c r="B24" s="628" t="str">
        <f>'III. INPUT-Baseline'!B45</f>
        <v>-</v>
      </c>
      <c r="C24" s="212">
        <f>IF('IV. INPUT-Project'!$D$43="Yes",519.67,'IV. INPUT-Project'!C57)</f>
        <v>0</v>
      </c>
      <c r="D24" s="212">
        <f>IF('IV. INPUT-Project'!$D$43="Yes",1,'IV. INPUT-Project'!D57)</f>
        <v>0</v>
      </c>
      <c r="E24" s="212">
        <f>'IV. INPUT-Project'!E57</f>
        <v>0</v>
      </c>
      <c r="F24" s="212">
        <f>'IV. INPUT-Project'!F57</f>
        <v>0</v>
      </c>
      <c r="G24" s="151">
        <f>IF('III. INPUT-Baseline'!D45=0, 0, IF('IV. INPUT-Project'!$D$36="Yes",'IV. INPUT-Project'!C76,(E24*F24)*0.0423*0.000454*(519.67/C24)*(D24/1)))</f>
        <v>0</v>
      </c>
      <c r="H24" s="212">
        <f>'IV. INPUT-Project'!C27</f>
        <v>0</v>
      </c>
      <c r="I24" s="212">
        <f>'IV. INPUT-Project'!D27</f>
        <v>0</v>
      </c>
      <c r="J24" s="151">
        <f t="shared" si="2"/>
        <v>0</v>
      </c>
      <c r="K24" s="151">
        <f t="shared" si="0"/>
        <v>0</v>
      </c>
      <c r="L24" s="214">
        <f t="shared" si="3"/>
        <v>0</v>
      </c>
      <c r="M24" s="214">
        <f t="shared" si="1"/>
        <v>0</v>
      </c>
      <c r="N24" s="214">
        <f>IF('III. INPUT-Baseline'!H45&gt;0,L24*('III. INPUT-Baseline'!H45/'III. INPUT-Baseline'!G45),0)</f>
        <v>0</v>
      </c>
    </row>
    <row r="25" spans="2:14" x14ac:dyDescent="0.25">
      <c r="B25" s="628" t="str">
        <f>'III. INPUT-Baseline'!B46</f>
        <v>-</v>
      </c>
      <c r="C25" s="212">
        <f>IF('IV. INPUT-Project'!$D$43="Yes",519.67,'IV. INPUT-Project'!C58)</f>
        <v>0</v>
      </c>
      <c r="D25" s="212">
        <f>IF('IV. INPUT-Project'!$D$43="Yes",1,'IV. INPUT-Project'!D58)</f>
        <v>0</v>
      </c>
      <c r="E25" s="212">
        <f>'IV. INPUT-Project'!E58</f>
        <v>0</v>
      </c>
      <c r="F25" s="212">
        <f>'IV. INPUT-Project'!F58</f>
        <v>0</v>
      </c>
      <c r="G25" s="151">
        <f>IF('III. INPUT-Baseline'!D46=0, 0, IF('IV. INPUT-Project'!$D$36="Yes",'IV. INPUT-Project'!C77,(E25*F25)*0.0423*0.000454*(519.67/C25)*(D25/1)))</f>
        <v>0</v>
      </c>
      <c r="H25" s="629">
        <f>'IV. INPUT-Project'!C28</f>
        <v>0</v>
      </c>
      <c r="I25" s="212">
        <f>'IV. INPUT-Project'!D28</f>
        <v>0</v>
      </c>
      <c r="J25" s="151">
        <f t="shared" si="2"/>
        <v>0</v>
      </c>
      <c r="K25" s="151">
        <f t="shared" si="0"/>
        <v>0</v>
      </c>
      <c r="L25" s="214">
        <f t="shared" si="3"/>
        <v>0</v>
      </c>
      <c r="M25" s="214">
        <f t="shared" si="1"/>
        <v>0</v>
      </c>
      <c r="N25" s="214">
        <f>IF('III. INPUT-Baseline'!H46&gt;0,L25*('III. INPUT-Baseline'!H46/'III. INPUT-Baseline'!G46),0)</f>
        <v>0</v>
      </c>
    </row>
    <row r="26" spans="2:14" x14ac:dyDescent="0.25">
      <c r="B26" s="628" t="str">
        <f>'III. INPUT-Baseline'!B47</f>
        <v>-</v>
      </c>
      <c r="C26" s="212">
        <f>IF('IV. INPUT-Project'!$D$43="Yes",519.67,'IV. INPUT-Project'!C59)</f>
        <v>0</v>
      </c>
      <c r="D26" s="212">
        <f>IF('IV. INPUT-Project'!$D$43="Yes",1,'IV. INPUT-Project'!D59)</f>
        <v>0</v>
      </c>
      <c r="E26" s="212">
        <f>'IV. INPUT-Project'!E59</f>
        <v>0</v>
      </c>
      <c r="F26" s="212">
        <f>'IV. INPUT-Project'!F59</f>
        <v>0</v>
      </c>
      <c r="G26" s="151">
        <f>IF('III. INPUT-Baseline'!D47=0, 0, IF('IV. INPUT-Project'!$D$36="Yes",'IV. INPUT-Project'!C78,(E26*F26)*0.0423*0.000454*(519.67/C26)*(D26/1)))</f>
        <v>0</v>
      </c>
      <c r="H26" s="629">
        <f>'IV. INPUT-Project'!C29</f>
        <v>0</v>
      </c>
      <c r="I26" s="212">
        <f>'IV. INPUT-Project'!D29</f>
        <v>0</v>
      </c>
      <c r="J26" s="151">
        <f t="shared" si="2"/>
        <v>0</v>
      </c>
      <c r="K26" s="151">
        <f t="shared" si="0"/>
        <v>0</v>
      </c>
      <c r="L26" s="214">
        <f t="shared" si="3"/>
        <v>0</v>
      </c>
      <c r="M26" s="214">
        <f t="shared" si="1"/>
        <v>0</v>
      </c>
      <c r="N26" s="214">
        <f>IF('III. INPUT-Baseline'!H47&gt;0,L26*('III. INPUT-Baseline'!H47/'III. INPUT-Baseline'!G47),0)</f>
        <v>0</v>
      </c>
    </row>
    <row r="27" spans="2:14" ht="13" x14ac:dyDescent="0.3">
      <c r="B27" s="546" t="s">
        <v>481</v>
      </c>
      <c r="C27" s="136"/>
      <c r="D27" s="136"/>
      <c r="E27" s="630"/>
      <c r="F27" s="347"/>
      <c r="G27" s="151">
        <f>SUM(G14:G26)</f>
        <v>0</v>
      </c>
      <c r="H27" s="134"/>
      <c r="I27" s="134"/>
      <c r="J27" s="595">
        <f>SUM(J14:J26)</f>
        <v>0</v>
      </c>
      <c r="K27" s="595">
        <f t="shared" ref="K27:M27" si="4">SUM(K14:K26)</f>
        <v>0</v>
      </c>
      <c r="L27" s="595">
        <f t="shared" si="4"/>
        <v>0</v>
      </c>
      <c r="M27" s="595">
        <f t="shared" si="4"/>
        <v>0</v>
      </c>
      <c r="N27" s="595">
        <f>SUM(N14:N26)</f>
        <v>0</v>
      </c>
    </row>
    <row r="30" spans="2:14" x14ac:dyDescent="0.25">
      <c r="B30" s="673" t="s">
        <v>241</v>
      </c>
      <c r="C30" s="673"/>
      <c r="D30" s="673"/>
      <c r="E30" s="673"/>
      <c r="F30" s="673"/>
      <c r="G30" s="673"/>
      <c r="H30" s="673"/>
      <c r="I30" s="673"/>
      <c r="J30" s="673"/>
    </row>
    <row r="31" spans="2:14" x14ac:dyDescent="0.25">
      <c r="B31" s="673"/>
      <c r="C31" s="673"/>
      <c r="D31" s="673"/>
      <c r="E31" s="673"/>
      <c r="F31" s="673"/>
      <c r="G31" s="673"/>
      <c r="H31" s="673"/>
      <c r="I31" s="673"/>
      <c r="J31" s="673"/>
    </row>
    <row r="32" spans="2:14" x14ac:dyDescent="0.25">
      <c r="B32" s="673"/>
      <c r="C32" s="673"/>
      <c r="D32" s="673"/>
      <c r="E32" s="673"/>
      <c r="F32" s="673"/>
      <c r="G32" s="673"/>
      <c r="H32" s="673"/>
      <c r="I32" s="673"/>
      <c r="J32" s="673"/>
    </row>
    <row r="33" spans="2:10" x14ac:dyDescent="0.25">
      <c r="B33" s="673"/>
      <c r="C33" s="673"/>
      <c r="D33" s="673"/>
      <c r="E33" s="673"/>
      <c r="F33" s="673"/>
      <c r="G33" s="673"/>
      <c r="H33" s="673"/>
      <c r="I33" s="673"/>
      <c r="J33" s="673"/>
    </row>
    <row r="34" spans="2:10" x14ac:dyDescent="0.25">
      <c r="B34" s="673"/>
      <c r="C34" s="673"/>
      <c r="D34" s="673"/>
      <c r="E34" s="673"/>
      <c r="F34" s="673"/>
      <c r="G34" s="673"/>
      <c r="H34" s="673"/>
      <c r="I34" s="673"/>
      <c r="J34" s="673"/>
    </row>
    <row r="35" spans="2:10" x14ac:dyDescent="0.25">
      <c r="B35" s="673"/>
      <c r="C35" s="673"/>
      <c r="D35" s="673"/>
      <c r="E35" s="673"/>
      <c r="F35" s="673"/>
      <c r="G35" s="673"/>
      <c r="H35" s="673"/>
      <c r="I35" s="673"/>
      <c r="J35" s="673"/>
    </row>
    <row r="36" spans="2:10" x14ac:dyDescent="0.25">
      <c r="B36" s="673"/>
      <c r="C36" s="673"/>
      <c r="D36" s="673"/>
      <c r="E36" s="673"/>
      <c r="F36" s="673"/>
      <c r="G36" s="673"/>
      <c r="H36" s="673"/>
      <c r="I36" s="673"/>
      <c r="J36" s="673"/>
    </row>
  </sheetData>
  <sheetProtection algorithmName="SHA-512" hashValue="RQHKiNE1YdISZ97Cjtqremo0eeMXMkMtzkGehhvPDvWYfR6yc49rNkXRDTlOduUcP3L5w9mfpUFUGPxRV9B9/g==" saltValue="Bb/t/zmjdWh4+FvNCjqdmw==" spinCount="100000" sheet="1" objects="1" scenarios="1"/>
  <customSheetViews>
    <customSheetView guid="{A6F5A5FB-2E6E-47D3-842C-0D3D06DB341A}" scale="75">
      <selection activeCell="C2" sqref="C2"/>
      <pageMargins left="0" right="0" top="0" bottom="0" header="0" footer="0"/>
      <pageSetup scale="64" orientation="landscape" horizontalDpi="1200" verticalDpi="1200" r:id="rId1"/>
      <headerFooter alignWithMargins="0"/>
    </customSheetView>
  </customSheetViews>
  <mergeCells count="3">
    <mergeCell ref="C7:F7"/>
    <mergeCell ref="B30:J36"/>
    <mergeCell ref="C8:F8"/>
  </mergeCells>
  <phoneticPr fontId="2" type="noConversion"/>
  <pageMargins left="0.75" right="0.75" top="1" bottom="1" header="0.5" footer="0.5"/>
  <pageSetup scale="64" orientation="landscape" horizontalDpi="1200" verticalDpi="1200"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38"/>
  <sheetViews>
    <sheetView showGridLines="0" zoomScale="80" zoomScaleNormal="80" workbookViewId="0">
      <selection activeCell="B13" sqref="B13"/>
    </sheetView>
  </sheetViews>
  <sheetFormatPr defaultColWidth="9.1796875" defaultRowHeight="12.5" x14ac:dyDescent="0.25"/>
  <cols>
    <col min="1" max="1" width="4" style="11" customWidth="1"/>
    <col min="2" max="2" width="15.81640625" style="11" customWidth="1"/>
    <col min="3" max="3" width="33.81640625" style="11" bestFit="1" customWidth="1"/>
    <col min="4" max="4" width="12.81640625" style="11" bestFit="1" customWidth="1"/>
    <col min="5" max="5" width="8.453125" style="11" bestFit="1" customWidth="1"/>
    <col min="6" max="6" width="15.1796875" style="11" bestFit="1" customWidth="1"/>
    <col min="7" max="7" width="18.81640625" style="11" bestFit="1" customWidth="1"/>
    <col min="8" max="8" width="8.453125" style="11" bestFit="1" customWidth="1"/>
    <col min="9" max="9" width="21.453125" style="11" bestFit="1" customWidth="1"/>
    <col min="10" max="16384" width="9.1796875" style="11"/>
  </cols>
  <sheetData>
    <row r="1" spans="2:9" ht="13" x14ac:dyDescent="0.3">
      <c r="B1" s="12" t="str">
        <f>version</f>
        <v>COPtool Beta Version 2014k - September 2018</v>
      </c>
      <c r="F1" s="49"/>
    </row>
    <row r="2" spans="2:9" ht="13" x14ac:dyDescent="0.3">
      <c r="B2" s="12" t="s">
        <v>81</v>
      </c>
      <c r="F2" s="49"/>
    </row>
    <row r="3" spans="2:9" ht="13" x14ac:dyDescent="0.3">
      <c r="B3" s="12"/>
      <c r="F3" s="49"/>
    </row>
    <row r="4" spans="2:9" ht="18" x14ac:dyDescent="0.4">
      <c r="B4" s="13" t="s">
        <v>482</v>
      </c>
      <c r="F4" s="49"/>
    </row>
    <row r="5" spans="2:9" ht="13" x14ac:dyDescent="0.3">
      <c r="B5" s="3"/>
      <c r="F5" s="49"/>
    </row>
    <row r="6" spans="2:9" ht="13" x14ac:dyDescent="0.3">
      <c r="B6" s="3" t="s">
        <v>83</v>
      </c>
      <c r="C6" s="24"/>
      <c r="D6" s="25"/>
      <c r="E6" s="49"/>
      <c r="F6" s="49"/>
      <c r="G6" s="49"/>
      <c r="H6" s="49"/>
      <c r="I6" s="49"/>
    </row>
    <row r="7" spans="2:9" ht="13" x14ac:dyDescent="0.3">
      <c r="B7" s="208" t="s">
        <v>84</v>
      </c>
      <c r="C7" s="93" t="s">
        <v>138</v>
      </c>
      <c r="D7" s="216"/>
      <c r="E7" s="216"/>
      <c r="F7" s="217"/>
      <c r="G7" s="49"/>
      <c r="H7" s="49"/>
      <c r="I7" s="49"/>
    </row>
    <row r="8" spans="2:9" ht="13" x14ac:dyDescent="0.3">
      <c r="B8" s="210" t="s">
        <v>86</v>
      </c>
      <c r="C8" s="187" t="s">
        <v>87</v>
      </c>
      <c r="D8" s="218"/>
      <c r="E8" s="218"/>
      <c r="F8" s="219"/>
      <c r="G8" s="49"/>
      <c r="H8" s="49"/>
      <c r="I8" s="49"/>
    </row>
    <row r="9" spans="2:9" ht="13" x14ac:dyDescent="0.3">
      <c r="B9" s="211" t="s">
        <v>141</v>
      </c>
      <c r="C9" s="738" t="s">
        <v>142</v>
      </c>
      <c r="D9" s="739"/>
      <c r="E9" s="739"/>
      <c r="F9" s="740"/>
      <c r="G9" s="49"/>
      <c r="H9" s="49"/>
      <c r="I9" s="49"/>
    </row>
    <row r="10" spans="2:9" ht="13" x14ac:dyDescent="0.3">
      <c r="B10" s="322" t="s">
        <v>143</v>
      </c>
      <c r="C10" s="325" t="s">
        <v>144</v>
      </c>
      <c r="D10" s="327"/>
      <c r="E10" s="327"/>
      <c r="F10" s="328"/>
      <c r="G10" s="49"/>
      <c r="H10" s="49"/>
      <c r="I10" s="49"/>
    </row>
    <row r="11" spans="2:9" x14ac:dyDescent="0.25">
      <c r="F11" s="49"/>
      <c r="G11" s="49"/>
      <c r="H11" s="49"/>
      <c r="I11" s="49"/>
    </row>
    <row r="12" spans="2:9" ht="33" customHeight="1" x14ac:dyDescent="0.25">
      <c r="B12" s="220" t="s">
        <v>483</v>
      </c>
      <c r="F12" s="49"/>
    </row>
    <row r="13" spans="2:9" ht="15.5" x14ac:dyDescent="0.35">
      <c r="B13" s="206" t="s">
        <v>484</v>
      </c>
      <c r="F13" s="49"/>
    </row>
    <row r="14" spans="2:9" ht="27.75" customHeight="1" x14ac:dyDescent="0.25">
      <c r="B14" s="671" t="s">
        <v>374</v>
      </c>
      <c r="C14" s="671"/>
      <c r="D14" s="671"/>
      <c r="E14" s="671"/>
      <c r="F14" s="671"/>
      <c r="G14" s="671"/>
      <c r="H14" s="671"/>
      <c r="I14" s="671"/>
    </row>
    <row r="15" spans="2:9" s="4" customFormat="1" ht="30" x14ac:dyDescent="0.4">
      <c r="B15" s="136" t="s">
        <v>246</v>
      </c>
      <c r="C15" s="535" t="s">
        <v>375</v>
      </c>
      <c r="D15" s="136" t="s">
        <v>376</v>
      </c>
      <c r="E15" s="535" t="s">
        <v>377</v>
      </c>
      <c r="F15" s="535" t="s">
        <v>485</v>
      </c>
      <c r="G15" s="535" t="s">
        <v>486</v>
      </c>
      <c r="H15" s="548" t="s">
        <v>487</v>
      </c>
      <c r="I15" s="548" t="s">
        <v>488</v>
      </c>
    </row>
    <row r="16" spans="2:9" s="4" customFormat="1" ht="13" x14ac:dyDescent="0.3">
      <c r="B16" s="631" t="str">
        <f>'III. INPUT-Baseline'!B35</f>
        <v>-</v>
      </c>
      <c r="C16" s="632">
        <f>'IV. INPUT-Project'!C83</f>
        <v>0</v>
      </c>
      <c r="D16" s="632">
        <f>'IV. INPUT-Project'!D83</f>
        <v>0</v>
      </c>
      <c r="E16" s="632">
        <f>'IV. INPUT-Project'!E83</f>
        <v>0</v>
      </c>
      <c r="F16" s="430">
        <v>4.2299999999999997E-2</v>
      </c>
      <c r="G16" s="430">
        <v>4.5399999999999998E-4</v>
      </c>
      <c r="H16" s="633">
        <f>(C16+(D16*E16))*F16*G16*'IV. INPUT-Project'!F83</f>
        <v>0</v>
      </c>
      <c r="I16" s="634">
        <f t="shared" ref="I16:I28" si="0">H16*gwp_ch4</f>
        <v>0</v>
      </c>
    </row>
    <row r="17" spans="2:9" s="4" customFormat="1" ht="13" x14ac:dyDescent="0.3">
      <c r="B17" s="631" t="str">
        <f>'III. INPUT-Baseline'!B36</f>
        <v>-</v>
      </c>
      <c r="C17" s="632">
        <f>'IV. INPUT-Project'!C84</f>
        <v>0</v>
      </c>
      <c r="D17" s="632">
        <f>'IV. INPUT-Project'!D84</f>
        <v>0</v>
      </c>
      <c r="E17" s="632">
        <f>'IV. INPUT-Project'!E84</f>
        <v>0</v>
      </c>
      <c r="F17" s="430">
        <v>4.2299999999999997E-2</v>
      </c>
      <c r="G17" s="430">
        <v>4.5399999999999998E-4</v>
      </c>
      <c r="H17" s="633">
        <f>(C17+(D17*E17))*F17*G17*'IV. INPUT-Project'!F84</f>
        <v>0</v>
      </c>
      <c r="I17" s="634">
        <f t="shared" si="0"/>
        <v>0</v>
      </c>
    </row>
    <row r="18" spans="2:9" s="4" customFormat="1" ht="13" x14ac:dyDescent="0.3">
      <c r="B18" s="631" t="str">
        <f>'III. INPUT-Baseline'!B37</f>
        <v>-</v>
      </c>
      <c r="C18" s="632">
        <f>'IV. INPUT-Project'!C85</f>
        <v>0</v>
      </c>
      <c r="D18" s="632">
        <f>'IV. INPUT-Project'!D85</f>
        <v>0</v>
      </c>
      <c r="E18" s="632">
        <f>'IV. INPUT-Project'!E85</f>
        <v>0</v>
      </c>
      <c r="F18" s="430">
        <v>4.2299999999999997E-2</v>
      </c>
      <c r="G18" s="430">
        <v>4.5399999999999998E-4</v>
      </c>
      <c r="H18" s="633">
        <f>(C18+(D18*E18))*F18*G18*'IV. INPUT-Project'!F85</f>
        <v>0</v>
      </c>
      <c r="I18" s="634">
        <f t="shared" si="0"/>
        <v>0</v>
      </c>
    </row>
    <row r="19" spans="2:9" s="4" customFormat="1" ht="13" x14ac:dyDescent="0.3">
      <c r="B19" s="631" t="str">
        <f>'III. INPUT-Baseline'!B38</f>
        <v>-</v>
      </c>
      <c r="C19" s="632">
        <f>'IV. INPUT-Project'!C86</f>
        <v>0</v>
      </c>
      <c r="D19" s="632">
        <f>'IV. INPUT-Project'!D86</f>
        <v>0</v>
      </c>
      <c r="E19" s="632">
        <f>'IV. INPUT-Project'!E86</f>
        <v>0</v>
      </c>
      <c r="F19" s="430">
        <v>4.2299999999999997E-2</v>
      </c>
      <c r="G19" s="430">
        <v>4.5399999999999998E-4</v>
      </c>
      <c r="H19" s="633">
        <f>(C19+(D19*E19))*F19*G19*'IV. INPUT-Project'!F86</f>
        <v>0</v>
      </c>
      <c r="I19" s="634">
        <f t="shared" si="0"/>
        <v>0</v>
      </c>
    </row>
    <row r="20" spans="2:9" s="4" customFormat="1" ht="13" x14ac:dyDescent="0.3">
      <c r="B20" s="631" t="str">
        <f>'III. INPUT-Baseline'!B39</f>
        <v>-</v>
      </c>
      <c r="C20" s="632">
        <f>'IV. INPUT-Project'!C87</f>
        <v>0</v>
      </c>
      <c r="D20" s="632">
        <f>'IV. INPUT-Project'!D87</f>
        <v>0</v>
      </c>
      <c r="E20" s="632">
        <f>'IV. INPUT-Project'!E87</f>
        <v>0</v>
      </c>
      <c r="F20" s="430">
        <v>4.2299999999999997E-2</v>
      </c>
      <c r="G20" s="430">
        <v>4.5399999999999998E-4</v>
      </c>
      <c r="H20" s="633">
        <f>(C20+(D20*E20))*F20*G20*'IV. INPUT-Project'!F87</f>
        <v>0</v>
      </c>
      <c r="I20" s="634">
        <f t="shared" si="0"/>
        <v>0</v>
      </c>
    </row>
    <row r="21" spans="2:9" s="4" customFormat="1" ht="13" x14ac:dyDescent="0.3">
      <c r="B21" s="631" t="str">
        <f>'III. INPUT-Baseline'!B40</f>
        <v>-</v>
      </c>
      <c r="C21" s="632">
        <f>'IV. INPUT-Project'!C88</f>
        <v>0</v>
      </c>
      <c r="D21" s="632">
        <f>'IV. INPUT-Project'!D88</f>
        <v>0</v>
      </c>
      <c r="E21" s="632">
        <f>'IV. INPUT-Project'!E88</f>
        <v>0</v>
      </c>
      <c r="F21" s="430">
        <v>4.2299999999999997E-2</v>
      </c>
      <c r="G21" s="430">
        <v>4.5399999999999998E-4</v>
      </c>
      <c r="H21" s="633">
        <f>(C21+(D21*E21))*F21*G21*'IV. INPUT-Project'!F88</f>
        <v>0</v>
      </c>
      <c r="I21" s="634">
        <f t="shared" si="0"/>
        <v>0</v>
      </c>
    </row>
    <row r="22" spans="2:9" s="4" customFormat="1" ht="13" x14ac:dyDescent="0.3">
      <c r="B22" s="631" t="str">
        <f>'III. INPUT-Baseline'!B41</f>
        <v>-</v>
      </c>
      <c r="C22" s="632">
        <f>'IV. INPUT-Project'!C89</f>
        <v>0</v>
      </c>
      <c r="D22" s="632">
        <f>'IV. INPUT-Project'!D89</f>
        <v>0</v>
      </c>
      <c r="E22" s="632">
        <f>'IV. INPUT-Project'!E89</f>
        <v>0</v>
      </c>
      <c r="F22" s="430">
        <v>4.2299999999999997E-2</v>
      </c>
      <c r="G22" s="430">
        <v>4.5399999999999998E-4</v>
      </c>
      <c r="H22" s="633">
        <f>(C22+(D22*E22))*F22*G22*'IV. INPUT-Project'!F89</f>
        <v>0</v>
      </c>
      <c r="I22" s="634">
        <f t="shared" si="0"/>
        <v>0</v>
      </c>
    </row>
    <row r="23" spans="2:9" s="4" customFormat="1" ht="13" x14ac:dyDescent="0.3">
      <c r="B23" s="631" t="str">
        <f>'III. INPUT-Baseline'!B42</f>
        <v>-</v>
      </c>
      <c r="C23" s="632">
        <f>'IV. INPUT-Project'!C90</f>
        <v>0</v>
      </c>
      <c r="D23" s="632">
        <f>'IV. INPUT-Project'!D90</f>
        <v>0</v>
      </c>
      <c r="E23" s="632">
        <f>'IV. INPUT-Project'!E90</f>
        <v>0</v>
      </c>
      <c r="F23" s="430">
        <v>4.2299999999999997E-2</v>
      </c>
      <c r="G23" s="430">
        <v>4.5399999999999998E-4</v>
      </c>
      <c r="H23" s="633">
        <f>(C23+(D23*E23))*F23*G23*'IV. INPUT-Project'!F90</f>
        <v>0</v>
      </c>
      <c r="I23" s="634">
        <f t="shared" si="0"/>
        <v>0</v>
      </c>
    </row>
    <row r="24" spans="2:9" s="4" customFormat="1" ht="13" x14ac:dyDescent="0.3">
      <c r="B24" s="631" t="str">
        <f>'III. INPUT-Baseline'!B43</f>
        <v>-</v>
      </c>
      <c r="C24" s="632">
        <f>'IV. INPUT-Project'!C91</f>
        <v>0</v>
      </c>
      <c r="D24" s="632">
        <f>'IV. INPUT-Project'!D91</f>
        <v>0</v>
      </c>
      <c r="E24" s="632">
        <f>'IV. INPUT-Project'!E91</f>
        <v>0</v>
      </c>
      <c r="F24" s="430">
        <v>4.2299999999999997E-2</v>
      </c>
      <c r="G24" s="430">
        <v>4.5399999999999998E-4</v>
      </c>
      <c r="H24" s="633">
        <f>(C24+(D24*E24))*F24*G24*'IV. INPUT-Project'!F91</f>
        <v>0</v>
      </c>
      <c r="I24" s="634">
        <f t="shared" si="0"/>
        <v>0</v>
      </c>
    </row>
    <row r="25" spans="2:9" s="4" customFormat="1" ht="13" x14ac:dyDescent="0.3">
      <c r="B25" s="631" t="str">
        <f>'III. INPUT-Baseline'!B44</f>
        <v>-</v>
      </c>
      <c r="C25" s="632">
        <f>'IV. INPUT-Project'!C92</f>
        <v>0</v>
      </c>
      <c r="D25" s="632">
        <f>'IV. INPUT-Project'!D92</f>
        <v>0</v>
      </c>
      <c r="E25" s="632">
        <f>'IV. INPUT-Project'!E92</f>
        <v>0</v>
      </c>
      <c r="F25" s="430">
        <v>4.2299999999999997E-2</v>
      </c>
      <c r="G25" s="430">
        <v>4.5399999999999998E-4</v>
      </c>
      <c r="H25" s="633">
        <f>(C25+(D25*E25))*F25*G25*'IV. INPUT-Project'!F92</f>
        <v>0</v>
      </c>
      <c r="I25" s="634">
        <f t="shared" si="0"/>
        <v>0</v>
      </c>
    </row>
    <row r="26" spans="2:9" s="4" customFormat="1" ht="13" x14ac:dyDescent="0.3">
      <c r="B26" s="631" t="str">
        <f>'III. INPUT-Baseline'!B45</f>
        <v>-</v>
      </c>
      <c r="C26" s="632">
        <f>'IV. INPUT-Project'!C93</f>
        <v>0</v>
      </c>
      <c r="D26" s="632">
        <f>'IV. INPUT-Project'!D93</f>
        <v>0</v>
      </c>
      <c r="E26" s="632">
        <f>'IV. INPUT-Project'!E93</f>
        <v>0</v>
      </c>
      <c r="F26" s="430">
        <v>4.2299999999999997E-2</v>
      </c>
      <c r="G26" s="430">
        <v>4.5399999999999998E-4</v>
      </c>
      <c r="H26" s="633">
        <f>(C26+(D26*E26))*F26*G26*'IV. INPUT-Project'!F93</f>
        <v>0</v>
      </c>
      <c r="I26" s="634">
        <f t="shared" si="0"/>
        <v>0</v>
      </c>
    </row>
    <row r="27" spans="2:9" s="4" customFormat="1" ht="13" x14ac:dyDescent="0.3">
      <c r="B27" s="631" t="str">
        <f>'III. INPUT-Baseline'!B46</f>
        <v>-</v>
      </c>
      <c r="C27" s="632">
        <f>'IV. INPUT-Project'!C94</f>
        <v>0</v>
      </c>
      <c r="D27" s="632">
        <f>'IV. INPUT-Project'!D94</f>
        <v>0</v>
      </c>
      <c r="E27" s="632">
        <f>'IV. INPUT-Project'!E94</f>
        <v>0</v>
      </c>
      <c r="F27" s="430">
        <v>4.2299999999999997E-2</v>
      </c>
      <c r="G27" s="430">
        <v>4.5399999999999998E-4</v>
      </c>
      <c r="H27" s="633">
        <f>(C27+(D27*E27))*F27*G27*'IV. INPUT-Project'!F94</f>
        <v>0</v>
      </c>
      <c r="I27" s="634">
        <f t="shared" si="0"/>
        <v>0</v>
      </c>
    </row>
    <row r="28" spans="2:9" s="4" customFormat="1" ht="13" x14ac:dyDescent="0.3">
      <c r="B28" s="631" t="str">
        <f>'III. INPUT-Baseline'!B47</f>
        <v>-</v>
      </c>
      <c r="C28" s="632">
        <f>'IV. INPUT-Project'!C95</f>
        <v>0</v>
      </c>
      <c r="D28" s="632">
        <f>'IV. INPUT-Project'!D95</f>
        <v>0</v>
      </c>
      <c r="E28" s="632">
        <f>'IV. INPUT-Project'!E95</f>
        <v>0</v>
      </c>
      <c r="F28" s="430">
        <v>4.2299999999999997E-2</v>
      </c>
      <c r="G28" s="430">
        <v>4.5399999999999998E-4</v>
      </c>
      <c r="H28" s="633">
        <f>(C28+(D28*E28))*F28*G28*'IV. INPUT-Project'!F95</f>
        <v>0</v>
      </c>
      <c r="I28" s="634">
        <f t="shared" si="0"/>
        <v>0</v>
      </c>
    </row>
    <row r="29" spans="2:9" s="4" customFormat="1" ht="13" x14ac:dyDescent="0.3">
      <c r="D29" s="11"/>
      <c r="E29" s="11"/>
      <c r="G29" s="221" t="s">
        <v>489</v>
      </c>
      <c r="H29" s="635">
        <f>SUM(H16:H27)</f>
        <v>0</v>
      </c>
      <c r="I29" s="636">
        <f>SUM(I16:I27)</f>
        <v>0</v>
      </c>
    </row>
    <row r="30" spans="2:9" s="4" customFormat="1" ht="13" x14ac:dyDescent="0.3">
      <c r="D30" s="11"/>
      <c r="E30" s="11"/>
      <c r="H30" s="54"/>
    </row>
    <row r="31" spans="2:9" x14ac:dyDescent="0.25">
      <c r="F31" s="49"/>
      <c r="H31" s="54"/>
    </row>
    <row r="32" spans="2:9" ht="12.75" customHeight="1" x14ac:dyDescent="0.25">
      <c r="B32" s="673" t="s">
        <v>241</v>
      </c>
      <c r="C32" s="673"/>
      <c r="D32" s="673"/>
      <c r="E32" s="673"/>
      <c r="F32" s="673"/>
      <c r="G32" s="673"/>
      <c r="H32" s="673"/>
      <c r="I32" s="673"/>
    </row>
    <row r="33" spans="2:9" x14ac:dyDescent="0.25">
      <c r="B33" s="673"/>
      <c r="C33" s="673"/>
      <c r="D33" s="673"/>
      <c r="E33" s="673"/>
      <c r="F33" s="673"/>
      <c r="G33" s="673"/>
      <c r="H33" s="673"/>
      <c r="I33" s="673"/>
    </row>
    <row r="34" spans="2:9" x14ac:dyDescent="0.25">
      <c r="B34" s="673"/>
      <c r="C34" s="673"/>
      <c r="D34" s="673"/>
      <c r="E34" s="673"/>
      <c r="F34" s="673"/>
      <c r="G34" s="673"/>
      <c r="H34" s="673"/>
      <c r="I34" s="673"/>
    </row>
    <row r="35" spans="2:9" x14ac:dyDescent="0.25">
      <c r="B35" s="673"/>
      <c r="C35" s="673"/>
      <c r="D35" s="673"/>
      <c r="E35" s="673"/>
      <c r="F35" s="673"/>
      <c r="G35" s="673"/>
      <c r="H35" s="673"/>
      <c r="I35" s="673"/>
    </row>
    <row r="36" spans="2:9" x14ac:dyDescent="0.25">
      <c r="B36" s="673"/>
      <c r="C36" s="673"/>
      <c r="D36" s="673"/>
      <c r="E36" s="673"/>
      <c r="F36" s="673"/>
      <c r="G36" s="673"/>
      <c r="H36" s="673"/>
      <c r="I36" s="673"/>
    </row>
    <row r="37" spans="2:9" x14ac:dyDescent="0.25">
      <c r="B37" s="673"/>
      <c r="C37" s="673"/>
      <c r="D37" s="673"/>
      <c r="E37" s="673"/>
      <c r="F37" s="673"/>
      <c r="G37" s="673"/>
      <c r="H37" s="673"/>
      <c r="I37" s="673"/>
    </row>
    <row r="38" spans="2:9" x14ac:dyDescent="0.25">
      <c r="B38" s="673"/>
      <c r="C38" s="673"/>
      <c r="D38" s="673"/>
      <c r="E38" s="673"/>
      <c r="F38" s="673"/>
      <c r="G38" s="673"/>
      <c r="H38" s="673"/>
      <c r="I38" s="673"/>
    </row>
  </sheetData>
  <sheetProtection password="CCBF" sheet="1" objects="1" scenarios="1"/>
  <mergeCells count="3">
    <mergeCell ref="C9:F9"/>
    <mergeCell ref="B14:I14"/>
    <mergeCell ref="B32:I38"/>
  </mergeCells>
  <phoneticPr fontId="8"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1A29D138E81034AB3435EFB41AC1B6A" ma:contentTypeVersion="24" ma:contentTypeDescription="Create a new document." ma:contentTypeScope="" ma:versionID="9be5ada7e398f5cf13092a2d34df9151">
  <xsd:schema xmlns:xsd="http://www.w3.org/2001/XMLSchema" xmlns:xs="http://www.w3.org/2001/XMLSchema" xmlns:p="http://schemas.microsoft.com/office/2006/metadata/properties" xmlns:ns1="http://schemas.microsoft.com/sharepoint/v3" xmlns:ns2="04007bd9-c0d9-4f27-a4ad-edebe3770499" xmlns:ns3="9ac66888-105e-4e54-b39a-e32c984792c9" xmlns:ns4="http://schemas.microsoft.com/sharepoint/v4" targetNamespace="http://schemas.microsoft.com/office/2006/metadata/properties" ma:root="true" ma:fieldsID="71c333024ed8706908e5901d2555f8a3" ns1:_="" ns2:_="" ns3:_="" ns4:_="">
    <xsd:import namespace="http://schemas.microsoft.com/sharepoint/v3"/>
    <xsd:import namespace="04007bd9-c0d9-4f27-a4ad-edebe3770499"/>
    <xsd:import namespace="9ac66888-105e-4e54-b39a-e32c984792c9"/>
    <xsd:import namespace="http://schemas.microsoft.com/sharepoint/v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1:_ip_UnifiedCompliancePolicyProperties" minOccurs="0"/>
                <xsd:element ref="ns1:_ip_UnifiedCompliancePolicyUIAction" minOccurs="0"/>
                <xsd:element ref="ns3:MediaServiceOCR" minOccurs="0"/>
                <xsd:element ref="ns4:IconOverlay"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Notes0" minOccurs="0"/>
                <xsd:element ref="ns3:Statu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007bd9-c0d9-4f27-a4ad-edebe377049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6" nillable="true" ma:displayName="Taxonomy Catch All Column" ma:hidden="true" ma:list="{ed2a84d8-057f-40d4-980b-4ffb05458a53}" ma:internalName="TaxCatchAll" ma:showField="CatchAllData" ma:web="04007bd9-c0d9-4f27-a4ad-edebe377049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ac66888-105e-4e54-b39a-e32c984792c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b60be8d9-dffb-4556-ab96-06e42ee90ae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Notes0" ma:index="29" nillable="true" ma:displayName="Notes" ma:format="Dropdown" ma:internalName="Notes0">
      <xsd:simpleType>
        <xsd:restriction base="dms:Text">
          <xsd:maxLength value="255"/>
        </xsd:restriction>
      </xsd:simpleType>
    </xsd:element>
    <xsd:element name="Status" ma:index="30" nillable="true" ma:displayName="Status" ma:format="Dropdown" ma:internalName="Status">
      <xsd:simpleType>
        <xsd:restriction base="dms:Choice">
          <xsd:enumeration value="In Progress"/>
          <xsd:enumeration value="Archive"/>
          <xsd:enumeration value="Final"/>
        </xsd:restriction>
      </xsd:simpleType>
    </xsd:element>
    <xsd:element name="MediaServiceBillingMetadata" ma:index="3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IconOverlay xmlns="http://schemas.microsoft.com/sharepoint/v4" xsi:nil="true"/>
    <lcf76f155ced4ddcb4097134ff3c332f xmlns="9ac66888-105e-4e54-b39a-e32c984792c9">
      <Terms xmlns="http://schemas.microsoft.com/office/infopath/2007/PartnerControls"/>
    </lcf76f155ced4ddcb4097134ff3c332f>
    <TaxCatchAll xmlns="04007bd9-c0d9-4f27-a4ad-edebe3770499" xsi:nil="true"/>
    <Notes0 xmlns="9ac66888-105e-4e54-b39a-e32c984792c9" xsi:nil="true"/>
    <Status xmlns="9ac66888-105e-4e54-b39a-e32c984792c9" xsi:nil="true"/>
  </documentManagement>
</p:properties>
</file>

<file path=customXml/itemProps1.xml><?xml version="1.0" encoding="utf-8"?>
<ds:datastoreItem xmlns:ds="http://schemas.openxmlformats.org/officeDocument/2006/customXml" ds:itemID="{4490828A-EEFA-4003-AEBB-5108D0628A02}">
  <ds:schemaRefs>
    <ds:schemaRef ds:uri="http://schemas.microsoft.com/sharepoint/v3/contenttype/forms"/>
  </ds:schemaRefs>
</ds:datastoreItem>
</file>

<file path=customXml/itemProps2.xml><?xml version="1.0" encoding="utf-8"?>
<ds:datastoreItem xmlns:ds="http://schemas.openxmlformats.org/officeDocument/2006/customXml" ds:itemID="{E3D48087-3C7A-4167-8D6A-BF68A6579B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4007bd9-c0d9-4f27-a4ad-edebe3770499"/>
    <ds:schemaRef ds:uri="9ac66888-105e-4e54-b39a-e32c984792c9"/>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FD0DD0-DB4D-4677-AC16-3BF2D87B35F6}">
  <ds:schemaRefs>
    <ds:schemaRef ds:uri="http://schemas.microsoft.com/office/infopath/2007/PartnerControls"/>
    <ds:schemaRef ds:uri="http://purl.org/dc/terms/"/>
    <ds:schemaRef ds:uri="04007bd9-c0d9-4f27-a4ad-edebe3770499"/>
    <ds:schemaRef ds:uri="http://schemas.microsoft.com/office/2006/documentManagement/types"/>
    <ds:schemaRef ds:uri="http://purl.org/dc/elements/1.1/"/>
    <ds:schemaRef ds:uri="http://www.w3.org/XML/1998/namespace"/>
    <ds:schemaRef ds:uri="http://schemas.microsoft.com/sharepoint/v3"/>
    <ds:schemaRef ds:uri="http://purl.org/dc/dcmitype/"/>
    <ds:schemaRef ds:uri="http://schemas.microsoft.com/office/2006/metadata/properties"/>
    <ds:schemaRef ds:uri="http://schemas.openxmlformats.org/package/2006/metadata/core-properties"/>
    <ds:schemaRef ds:uri="http://schemas.microsoft.com/sharepoint/v4"/>
    <ds:schemaRef ds:uri="9ac66888-105e-4e54-b39a-e32c984792c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I. Introduction</vt:lpstr>
      <vt:lpstr>II. Summary</vt:lpstr>
      <vt:lpstr>III. INPUT-Baseline</vt:lpstr>
      <vt:lpstr>IV. INPUT-Project</vt:lpstr>
      <vt:lpstr>V. Baseline Anaerobic CH4</vt:lpstr>
      <vt:lpstr>VI. Baseline Non-Anaerobic CH4</vt:lpstr>
      <vt:lpstr>VII. Baseline CH4</vt:lpstr>
      <vt:lpstr>VIII. Project CH4 (BCS)</vt:lpstr>
      <vt:lpstr>IX. Venting</vt:lpstr>
      <vt:lpstr>X. Effluent Pond</vt:lpstr>
      <vt:lpstr>XI. Project CH4 (non-BCS)</vt:lpstr>
      <vt:lpstr>XII. Project CH4</vt:lpstr>
      <vt:lpstr>XIII. CO2</vt:lpstr>
      <vt:lpstr>XIV. References</vt:lpstr>
      <vt:lpstr>'XIV. References'!_Hlk165104982</vt:lpstr>
      <vt:lpstr>gwp_ch4</vt:lpstr>
      <vt:lpstr>'I. Introduction'!Print_Area</vt:lpstr>
      <vt:lpstr>'III. INPUT-Baseline'!Print_Area</vt:lpstr>
      <vt:lpstr>'V. Baseline Anaerobic CH4'!Print_Area</vt:lpstr>
      <vt:lpstr>'VI. Baseline Non-Anaerobic CH4'!Print_Area</vt:lpstr>
      <vt:lpstr>'VII. Baseline CH4'!Print_Area</vt:lpstr>
      <vt:lpstr>'VIII. Project CH4 (BCS)'!Print_Area</vt:lpstr>
      <vt:lpstr>'X. Effluent Pond'!Print_Area</vt:lpstr>
      <vt:lpstr>'XI. Project CH4 (non-BCS)'!Print_Area</vt:lpstr>
      <vt:lpstr>'XII. Project CH4'!Print_Area</vt:lpstr>
      <vt:lpstr>'XIII. CO2'!Print_Area</vt:lpstr>
      <vt:lpstr>'XIV. References'!Print_Area</vt:lpstr>
      <vt:lpstr>version</vt:lpstr>
    </vt:vector>
  </TitlesOfParts>
  <Manager/>
  <Company>Climate Registry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Reserve Staff</dc:creator>
  <cp:keywords/>
  <dc:description/>
  <cp:lastModifiedBy>Rachel Mooney</cp:lastModifiedBy>
  <cp:revision/>
  <dcterms:created xsi:type="dcterms:W3CDTF">2007-03-26T19:06:34Z</dcterms:created>
  <dcterms:modified xsi:type="dcterms:W3CDTF">2025-05-20T14:25:19Z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0x01010001A29D138E81034AB3435EFB41AC1B6A</vt:lpwstr>
  </property>
  <property fmtid="{D5CDD505-2E9C-101B-9397-08002B2CF9AE}" pid="3" name="Order">
    <vt:r8>100</vt:r8>
  </property>
  <property fmtid="{D5CDD505-2E9C-101B-9397-08002B2CF9AE}" pid="4" name="MediaServiceImageTags">
    <vt:lpwstr/>
  </property>
</Properties>
</file>